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dbonline-my.sharepoint.com/personal/louise_alford_ahdb_org_uk/Documents/Documents/Content team/Accessibility/DocInPractice/"/>
    </mc:Choice>
  </mc:AlternateContent>
  <xr:revisionPtr revIDLastSave="0" documentId="8_{F29A0542-5F42-434A-852B-DD461A40F984}" xr6:coauthVersionLast="47" xr6:coauthVersionMax="47" xr10:uidLastSave="{00000000-0000-0000-0000-000000000000}"/>
  <bookViews>
    <workbookView xWindow="-120" yWindow="-120" windowWidth="38640" windowHeight="21120" xr2:uid="{5B9C9C21-924A-4158-AF1F-6CB481DD9B6E}"/>
  </bookViews>
  <sheets>
    <sheet name="Glossary" sheetId="1" r:id="rId1"/>
    <sheet name="EPRGDIP" sheetId="3" r:id="rId2"/>
    <sheet name="EPRGTET" sheetId="2" r:id="rId3"/>
    <sheet name="IPRGDIP" sheetId="4" r:id="rId4"/>
    <sheet name="IPRGTET" sheetId="5" r:id="rId5"/>
    <sheet name="LPRGDIP" sheetId="9" r:id="rId6"/>
    <sheet name="LPRGTET" sheetId="6" r:id="rId7"/>
    <sheet name="IRGDIP" sheetId="10" r:id="rId8"/>
    <sheet name="IRGTET" sheetId="7" r:id="rId9"/>
    <sheet name="HRGDIP" sheetId="11" r:id="rId10"/>
    <sheet name="HRGTET" sheetId="8" r:id="rId11"/>
    <sheet name="TIM" sheetId="12" r:id="rId12"/>
    <sheet name="WC" sheetId="13" r:id="rId13"/>
    <sheet name="RCDIP" sheetId="14" r:id="rId14"/>
    <sheet name="RCTET" sheetId="15" r:id="rId15"/>
    <sheet name="LUC" sheetId="16" r:id="rId16"/>
    <sheet name="CFT" sheetId="17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7" i="12" l="1"/>
  <c r="H27" i="12"/>
  <c r="G27" i="12"/>
  <c r="F27" i="12"/>
  <c r="E27" i="12"/>
  <c r="D27" i="12"/>
  <c r="C27" i="12"/>
  <c r="B27" i="12"/>
  <c r="I25" i="12"/>
  <c r="H25" i="12"/>
  <c r="G25" i="12"/>
  <c r="F25" i="12"/>
  <c r="E25" i="12"/>
  <c r="D25" i="12"/>
  <c r="C25" i="12"/>
  <c r="B25" i="12"/>
  <c r="I8" i="12"/>
  <c r="H8" i="12"/>
  <c r="G8" i="12"/>
  <c r="F8" i="12"/>
  <c r="E8" i="12"/>
  <c r="D8" i="12"/>
  <c r="C8" i="12"/>
  <c r="B8" i="12"/>
  <c r="M27" i="6"/>
  <c r="L27" i="6"/>
  <c r="K27" i="6"/>
  <c r="J27" i="6"/>
  <c r="I27" i="6"/>
  <c r="H27" i="6"/>
  <c r="G27" i="6"/>
  <c r="F27" i="6"/>
  <c r="E27" i="6"/>
  <c r="D27" i="6"/>
  <c r="C27" i="6"/>
  <c r="B27" i="6"/>
  <c r="M25" i="6"/>
  <c r="L25" i="6"/>
  <c r="K25" i="6"/>
  <c r="J25" i="6"/>
  <c r="I25" i="6"/>
  <c r="H25" i="6"/>
  <c r="G25" i="6"/>
  <c r="F25" i="6"/>
  <c r="E25" i="6"/>
  <c r="D25" i="6"/>
  <c r="C25" i="6"/>
  <c r="B25" i="6"/>
  <c r="M8" i="6"/>
  <c r="L8" i="6"/>
  <c r="K8" i="6"/>
  <c r="J8" i="6"/>
  <c r="I8" i="6"/>
  <c r="H8" i="6"/>
  <c r="G8" i="6"/>
  <c r="F8" i="6"/>
  <c r="E8" i="6"/>
  <c r="D8" i="6"/>
  <c r="C8" i="6"/>
  <c r="B8" i="6"/>
  <c r="AJ27" i="9"/>
  <c r="AI27" i="9"/>
  <c r="AH27" i="9"/>
  <c r="AG27" i="9"/>
  <c r="AF27" i="9"/>
  <c r="AE27" i="9"/>
  <c r="AD27" i="9"/>
  <c r="AC27" i="9"/>
  <c r="AB27" i="9"/>
  <c r="AA27" i="9"/>
  <c r="Z27" i="9"/>
  <c r="Y27" i="9"/>
  <c r="X27" i="9"/>
  <c r="W27" i="9"/>
  <c r="V27" i="9"/>
  <c r="U27" i="9"/>
  <c r="T27" i="9"/>
  <c r="S27" i="9"/>
  <c r="R27" i="9"/>
  <c r="Q27" i="9"/>
  <c r="P27" i="9"/>
  <c r="O27" i="9"/>
  <c r="N27" i="9"/>
  <c r="M27" i="9"/>
  <c r="L27" i="9"/>
  <c r="K27" i="9"/>
  <c r="J27" i="9"/>
  <c r="I27" i="9"/>
  <c r="H27" i="9"/>
  <c r="G27" i="9"/>
  <c r="F27" i="9"/>
  <c r="E27" i="9"/>
  <c r="D27" i="9"/>
  <c r="C27" i="9"/>
  <c r="B27" i="9"/>
  <c r="AJ25" i="9"/>
  <c r="AI25" i="9"/>
  <c r="AH25" i="9"/>
  <c r="AG25" i="9"/>
  <c r="AF25" i="9"/>
  <c r="AE25" i="9"/>
  <c r="AD25" i="9"/>
  <c r="AC25" i="9"/>
  <c r="AB25" i="9"/>
  <c r="AA25" i="9"/>
  <c r="Z25" i="9"/>
  <c r="Y25" i="9"/>
  <c r="X25" i="9"/>
  <c r="W25" i="9"/>
  <c r="V25" i="9"/>
  <c r="U25" i="9"/>
  <c r="T25" i="9"/>
  <c r="S25" i="9"/>
  <c r="R25" i="9"/>
  <c r="Q25" i="9"/>
  <c r="P25" i="9"/>
  <c r="O25" i="9"/>
  <c r="N25" i="9"/>
  <c r="M25" i="9"/>
  <c r="L25" i="9"/>
  <c r="K25" i="9"/>
  <c r="J25" i="9"/>
  <c r="I25" i="9"/>
  <c r="H25" i="9"/>
  <c r="G25" i="9"/>
  <c r="F25" i="9"/>
  <c r="E25" i="9"/>
  <c r="D25" i="9"/>
  <c r="C25" i="9"/>
  <c r="B25" i="9"/>
  <c r="AJ8" i="9"/>
  <c r="AI8" i="9"/>
  <c r="AH8" i="9"/>
  <c r="AG8" i="9"/>
  <c r="AF8" i="9"/>
  <c r="AE8" i="9"/>
  <c r="AD8" i="9"/>
  <c r="AC8" i="9"/>
  <c r="AB8" i="9"/>
  <c r="AA8" i="9"/>
  <c r="Z8" i="9"/>
  <c r="Y8" i="9"/>
  <c r="X8" i="9"/>
  <c r="W8" i="9"/>
  <c r="V8" i="9"/>
  <c r="U8" i="9"/>
  <c r="T8" i="9"/>
  <c r="S8" i="9"/>
  <c r="R8" i="9"/>
  <c r="Q8" i="9"/>
  <c r="P8" i="9"/>
  <c r="O8" i="9"/>
  <c r="N8" i="9"/>
  <c r="M8" i="9"/>
  <c r="L8" i="9"/>
  <c r="K8" i="9"/>
  <c r="J8" i="9"/>
  <c r="I8" i="9"/>
  <c r="H8" i="9"/>
  <c r="G8" i="9"/>
  <c r="F8" i="9"/>
  <c r="E8" i="9"/>
  <c r="D8" i="9"/>
  <c r="C8" i="9"/>
  <c r="B8" i="9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8" i="5"/>
  <c r="B8" i="5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B25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F27" i="2"/>
  <c r="E27" i="2"/>
  <c r="D27" i="2"/>
  <c r="C27" i="2"/>
  <c r="B27" i="2"/>
  <c r="F25" i="2"/>
  <c r="E25" i="2"/>
  <c r="D25" i="2"/>
  <c r="C25" i="2"/>
  <c r="B25" i="2"/>
  <c r="F8" i="2"/>
  <c r="E8" i="2"/>
  <c r="D8" i="2"/>
  <c r="C8" i="2"/>
  <c r="B8" i="2"/>
  <c r="F27" i="3"/>
  <c r="E27" i="3"/>
  <c r="D27" i="3"/>
  <c r="C27" i="3"/>
  <c r="B27" i="3"/>
  <c r="F25" i="3"/>
  <c r="E25" i="3"/>
  <c r="D25" i="3"/>
  <c r="C25" i="3"/>
  <c r="B25" i="3"/>
  <c r="F8" i="3"/>
  <c r="E8" i="3"/>
  <c r="D8" i="3"/>
  <c r="C8" i="3"/>
  <c r="B8" i="3"/>
</calcChain>
</file>

<file path=xl/sharedStrings.xml><?xml version="1.0" encoding="utf-8"?>
<sst xmlns="http://schemas.openxmlformats.org/spreadsheetml/2006/main" count="1912" uniqueCount="606">
  <si>
    <t>Glossary of terms and abbreviations</t>
  </si>
  <si>
    <t>This glossary defines all abbreviations and technical terms used in this workbook.</t>
  </si>
  <si>
    <t>Abbreviation</t>
  </si>
  <si>
    <t>Full term</t>
  </si>
  <si>
    <t>Description</t>
  </si>
  <si>
    <t>RL STATUS CODES</t>
  </si>
  <si>
    <t>G</t>
  </si>
  <si>
    <t>Fully Recommended</t>
  </si>
  <si>
    <t>Variety fully recommended for use based on comprehensive trial data</t>
  </si>
  <si>
    <t>S</t>
  </si>
  <si>
    <t>Status S</t>
  </si>
  <si>
    <t>Variety with satisfactory performance</t>
  </si>
  <si>
    <t>PG</t>
  </si>
  <si>
    <t>Provisionally Recommended (General)</t>
  </si>
  <si>
    <t>Provisionally recommended for general use</t>
  </si>
  <si>
    <t>PS</t>
  </si>
  <si>
    <t>Provisionally Recommended (Specific)</t>
  </si>
  <si>
    <t>Provisionally recommended for specific use</t>
  </si>
  <si>
    <t>-</t>
  </si>
  <si>
    <t>No Data</t>
  </si>
  <si>
    <t>Data not available or not measured</t>
  </si>
  <si>
    <t>[ ]</t>
  </si>
  <si>
    <t>Limited Data</t>
  </si>
  <si>
    <t>Data only available from two trials - interpret with caution</t>
  </si>
  <si>
    <t>GRASS TYPES</t>
  </si>
  <si>
    <t>PRG</t>
  </si>
  <si>
    <t>Perennial Ryegrass</t>
  </si>
  <si>
    <t>Long-lived grass species for permanent pastures</t>
  </si>
  <si>
    <t>IRG</t>
  </si>
  <si>
    <t>Italian Ryegrass</t>
  </si>
  <si>
    <t>Short-lived, high-yielding ryegrass</t>
  </si>
  <si>
    <t>HRG</t>
  </si>
  <si>
    <t>Hybrid Ryegrass</t>
  </si>
  <si>
    <t>Cross between perennial and Italian ryegrass</t>
  </si>
  <si>
    <t>DIP</t>
  </si>
  <si>
    <t>Diploid</t>
  </si>
  <si>
    <t>Variety with two sets of chromosomes (2n)</t>
  </si>
  <si>
    <t>TET</t>
  </si>
  <si>
    <t>Tetraploid</t>
  </si>
  <si>
    <t>Variety with four sets of chromosomes (4n)</t>
  </si>
  <si>
    <t>MATURITY GROUPS</t>
  </si>
  <si>
    <t>E</t>
  </si>
  <si>
    <t>Early</t>
  </si>
  <si>
    <t>Early heading/maturity varieties</t>
  </si>
  <si>
    <t>I / Int.</t>
  </si>
  <si>
    <t>Intermediate</t>
  </si>
  <si>
    <t>Intermediate heading/maturity varieties</t>
  </si>
  <si>
    <t>L</t>
  </si>
  <si>
    <t>Late</t>
  </si>
  <si>
    <t>Late heading/maturity varieties</t>
  </si>
  <si>
    <t>YIELD &amp; QUALITY METRICS</t>
  </si>
  <si>
    <t>t/ha</t>
  </si>
  <si>
    <t>Tonnes per Hectare</t>
  </si>
  <si>
    <t>Unit of dry matter yield</t>
  </si>
  <si>
    <t>D-value</t>
  </si>
  <si>
    <t>Digestibility Value</t>
  </si>
  <si>
    <t>Measure of forage digestibility (% of dry matter)</t>
  </si>
  <si>
    <t>ME</t>
  </si>
  <si>
    <t>Metabolisable Energy</t>
  </si>
  <si>
    <t>Energy available to livestock from forage</t>
  </si>
  <si>
    <t>MJ/ha</t>
  </si>
  <si>
    <t>Megajoules per Hectare</t>
  </si>
  <si>
    <t>Unit of energy per hectare</t>
  </si>
  <si>
    <t>%</t>
  </si>
  <si>
    <t>Percentage</t>
  </si>
  <si>
    <t>Values shown as percentage of mean of recommended varieties</t>
  </si>
  <si>
    <t>LSD</t>
  </si>
  <si>
    <t>Least Significant Difference</t>
  </si>
  <si>
    <t>Statistical measure for comparing variety differences</t>
  </si>
  <si>
    <t>MANAGEMENT TYPES</t>
  </si>
  <si>
    <t>Grazing</t>
  </si>
  <si>
    <t>Grazing Management</t>
  </si>
  <si>
    <t>Pastures managed primarily for grazing by livestock</t>
  </si>
  <si>
    <t>Conservation</t>
  </si>
  <si>
    <t>Conservation Management</t>
  </si>
  <si>
    <t>Pastures managed primarily for silage/hay</t>
  </si>
  <si>
    <t>SEASONAL PERIODS</t>
  </si>
  <si>
    <t>Early Grazing</t>
  </si>
  <si>
    <t>Early Grazing Period</t>
  </si>
  <si>
    <t>First grazing opportunity in spring</t>
  </si>
  <si>
    <t>Spring</t>
  </si>
  <si>
    <t>Spring Period</t>
  </si>
  <si>
    <t>Main spring growth period</t>
  </si>
  <si>
    <t>Early Summer</t>
  </si>
  <si>
    <t>Early Summer Period</t>
  </si>
  <si>
    <t>Early summer growth period</t>
  </si>
  <si>
    <t>Late Summer</t>
  </si>
  <si>
    <t>Late Summer Period</t>
  </si>
  <si>
    <t>Late summer growth period</t>
  </si>
  <si>
    <t>Autumn</t>
  </si>
  <si>
    <t>Autumn Period</t>
  </si>
  <si>
    <t>Autumn growth period</t>
  </si>
  <si>
    <t>1st Cut</t>
  </si>
  <si>
    <t>First Conservation Cut</t>
  </si>
  <si>
    <t>First silage cut of the season</t>
  </si>
  <si>
    <t>2nd Cut</t>
  </si>
  <si>
    <t>Second Conservation Cut</t>
  </si>
  <si>
    <t>Second silage cut of the season</t>
  </si>
  <si>
    <t>3rd Cut</t>
  </si>
  <si>
    <t>Third Conservation Cut</t>
  </si>
  <si>
    <t>Third silage cut of the season</t>
  </si>
  <si>
    <t>4th+ Cut</t>
  </si>
  <si>
    <t>Fourth and Subsequent Cuts</t>
  </si>
  <si>
    <t>Fourth and any additional cuts</t>
  </si>
  <si>
    <t>AGRONOMIC CHARACTERISTICS</t>
  </si>
  <si>
    <t>Ground Cover %</t>
  </si>
  <si>
    <t>Ground Cover Percentage</t>
  </si>
  <si>
    <t>Percentage of ground covered by the sward</t>
  </si>
  <si>
    <t>Winter Hardiness</t>
  </si>
  <si>
    <t>Winter Hardiness Score</t>
  </si>
  <si>
    <t>Ability to survive winter (1-9 scale, 9 = excellent)</t>
  </si>
  <si>
    <t>Heading Date</t>
  </si>
  <si>
    <t>Date when 50% of plants show emerged seed heads</t>
  </si>
  <si>
    <t>DISEASE RESISTANCE (1-9 SCALE: 1 = poor, 9 = excellent)</t>
  </si>
  <si>
    <t>Crown Rust</t>
  </si>
  <si>
    <t>Crown Rust Resistance</t>
  </si>
  <si>
    <t>Resistance to Puccinia coronata fungal disease</t>
  </si>
  <si>
    <t>Drechslera</t>
  </si>
  <si>
    <t>Drechslera Resistance</t>
  </si>
  <si>
    <t>Resistance to Drechslera leaf spot disease</t>
  </si>
  <si>
    <t>Mildew</t>
  </si>
  <si>
    <t>Mildew Resistance</t>
  </si>
  <si>
    <t>Resistance to powdery mildew disease</t>
  </si>
  <si>
    <t>Brown Rust</t>
  </si>
  <si>
    <t>Brown Rust Resistance</t>
  </si>
  <si>
    <t>Resistance to Puccinia species</t>
  </si>
  <si>
    <t>RMV</t>
  </si>
  <si>
    <t>Ryegrass Mosaic Virus</t>
  </si>
  <si>
    <t>Resistance to viral disease affecting ryegrass</t>
  </si>
  <si>
    <t>OTHER SPECIES</t>
  </si>
  <si>
    <t>TIM</t>
  </si>
  <si>
    <t>Timothy</t>
  </si>
  <si>
    <t>Timothy grass (Phleum pratense)</t>
  </si>
  <si>
    <t>WC</t>
  </si>
  <si>
    <t>White Clover</t>
  </si>
  <si>
    <t>White clover (Trifolium repens)</t>
  </si>
  <si>
    <t>RC</t>
  </si>
  <si>
    <t>Red Clover</t>
  </si>
  <si>
    <t>Red clover (Trifolium pratense)</t>
  </si>
  <si>
    <t>LU</t>
  </si>
  <si>
    <t>Lucerne</t>
  </si>
  <si>
    <t>Lucerne/Alfalfa (Medicago sativa)</t>
  </si>
  <si>
    <t>CFT</t>
  </si>
  <si>
    <t>Cocksfoot</t>
  </si>
  <si>
    <t>Cocksfoot grass (Dactylis glomerata)</t>
  </si>
  <si>
    <t>Festulolium</t>
  </si>
  <si>
    <t>Intergeneric hybrid between Festuca and Lolium species</t>
  </si>
  <si>
    <t>ORGANISATIONS</t>
  </si>
  <si>
    <t>AFBI</t>
  </si>
  <si>
    <t>Agri-Food and Biosciences Institute</t>
  </si>
  <si>
    <t>Northern Ireland agricultural research institute</t>
  </si>
  <si>
    <t>IBERS</t>
  </si>
  <si>
    <t>Institute of Biological, Environmental and Rural Sciences</t>
  </si>
  <si>
    <t>Aberystwyth University research institute</t>
  </si>
  <si>
    <t>Teagasc</t>
  </si>
  <si>
    <t>Irish Agriculture and Food Development Authority</t>
  </si>
  <si>
    <t>DLF</t>
  </si>
  <si>
    <t>DLF Seeds</t>
  </si>
  <si>
    <t>Danish seed breeding company</t>
  </si>
  <si>
    <t>DSV</t>
  </si>
  <si>
    <t>Deutsche Saatveredelung</t>
  </si>
  <si>
    <t>German seed breeding company</t>
  </si>
  <si>
    <t>RAGT</t>
  </si>
  <si>
    <t xml:space="preserve">RAGT UK </t>
  </si>
  <si>
    <t>UK agent for RAGT r2n</t>
  </si>
  <si>
    <t>R2n</t>
  </si>
  <si>
    <t xml:space="preserve">RAGT R2n </t>
  </si>
  <si>
    <t>French seed breeding company</t>
  </si>
  <si>
    <t>DL</t>
  </si>
  <si>
    <t>Descriptive List</t>
  </si>
  <si>
    <t>Varieties on descriptive list (not fully recommended)</t>
  </si>
  <si>
    <t>SHEET NAME CODES</t>
  </si>
  <si>
    <t>EPRGDIP</t>
  </si>
  <si>
    <t>Early PRG Diploid</t>
  </si>
  <si>
    <t>Early perennial ryegrass diploid varieties</t>
  </si>
  <si>
    <t>EPRGTET</t>
  </si>
  <si>
    <t>Early PRG Tetraploid</t>
  </si>
  <si>
    <t>Early perennial ryegrass tetraploid varieties</t>
  </si>
  <si>
    <t>IPRGDIP</t>
  </si>
  <si>
    <t>Intermediate PRG Diploid</t>
  </si>
  <si>
    <t>Intermediate perennial ryegrass diploid varieties</t>
  </si>
  <si>
    <t>IPRGTET</t>
  </si>
  <si>
    <t>Intermediate PRG Tetraploid</t>
  </si>
  <si>
    <t>Intermediate perennial ryegrass tetraploid varieties</t>
  </si>
  <si>
    <t>LPRGDIP</t>
  </si>
  <si>
    <t>Late PRG Diploid</t>
  </si>
  <si>
    <t>Late perennial ryegrass diploid varieties</t>
  </si>
  <si>
    <t>LPRGTET</t>
  </si>
  <si>
    <t>Late PRG Tetraploid</t>
  </si>
  <si>
    <t>Late perennial ryegrass tetraploid varieties</t>
  </si>
  <si>
    <t>IRGDIP</t>
  </si>
  <si>
    <t>Italian RG Diploid</t>
  </si>
  <si>
    <t>Italian ryegrass diploid varieties</t>
  </si>
  <si>
    <t>IRGTET</t>
  </si>
  <si>
    <t>Italian RG Tetraploid</t>
  </si>
  <si>
    <t>Italian ryegrass tetraploid varieties</t>
  </si>
  <si>
    <t>HRGDIP</t>
  </si>
  <si>
    <t>Hybrid RG Diploid</t>
  </si>
  <si>
    <t>Hybrid ryegrass diploid varieties</t>
  </si>
  <si>
    <t>HRGTET</t>
  </si>
  <si>
    <t>Hybrid RG Tetraploid</t>
  </si>
  <si>
    <t>Hybrid ryegrass tetraploid varieties</t>
  </si>
  <si>
    <t>RCDIP</t>
  </si>
  <si>
    <t>Red Clover Diploid</t>
  </si>
  <si>
    <t>Red clover diploid varieties</t>
  </si>
  <si>
    <t>RCTET</t>
  </si>
  <si>
    <t>Red Clover Tetraploid</t>
  </si>
  <si>
    <t>Red clover tetraploid varieties</t>
  </si>
  <si>
    <t>Mean of G varieties</t>
  </si>
  <si>
    <t>Early diploid mean (G's only)</t>
  </si>
  <si>
    <t>Genesis</t>
  </si>
  <si>
    <t>Moyola</t>
  </si>
  <si>
    <t>Glasker</t>
  </si>
  <si>
    <t>RL status</t>
  </si>
  <si>
    <t>Heading date</t>
  </si>
  <si>
    <t>Grazing management</t>
  </si>
  <si>
    <t>Grazing yield (% of 8.79 t/ha)</t>
  </si>
  <si>
    <t xml:space="preserve">Grazing D-value </t>
  </si>
  <si>
    <t>ME yield (% of 108,000 MJ/ha)</t>
  </si>
  <si>
    <t>Ground cover % (grazing)</t>
  </si>
  <si>
    <t>Conservation management</t>
  </si>
  <si>
    <t>Total yield year 1 (% of 15.47 t/ha)</t>
  </si>
  <si>
    <t>1st and 2nd cut ME yield, first harvest year (% of 111,000 MJ/ha)</t>
  </si>
  <si>
    <t>Total yield year 3 (% of 11.46 t/ha)</t>
  </si>
  <si>
    <t>Total yield: Mean (% of 13.64 t/ha)</t>
  </si>
  <si>
    <t>Ground cover % (conservation year 3)</t>
  </si>
  <si>
    <t xml:space="preserve">Grazing seasonal growth </t>
  </si>
  <si>
    <t>Early grazing yield (% of 1.37 t/ha)</t>
  </si>
  <si>
    <t>Spring (% of 2.50 t/ha)</t>
  </si>
  <si>
    <t>Early summer (% of 2.99 t/ha)</t>
  </si>
  <si>
    <t>Late summer (% of 2.14 t/ha)</t>
  </si>
  <si>
    <t>Autumn (% of 1.28 t/ha)</t>
  </si>
  <si>
    <t>Conservation seasonal growth – Year 1</t>
  </si>
  <si>
    <t>1st cut (% of 6.63 t/ha)</t>
  </si>
  <si>
    <t>1st cut D-value</t>
  </si>
  <si>
    <t>2nd cut (% of 3.11 t/ha)</t>
  </si>
  <si>
    <t>2nd cut D-value</t>
  </si>
  <si>
    <t>3rd cut (% of 2.67 t/ha)</t>
  </si>
  <si>
    <t>4th+ cut (% of 2.99 t/ha)</t>
  </si>
  <si>
    <t>Agronomic characters</t>
  </si>
  <si>
    <t>Winter hardiness (1–9, 1 = poor, 9 = good)</t>
  </si>
  <si>
    <t>Disease resistance</t>
  </si>
  <si>
    <t>Crown rust (1–9, 1 = poor, 9 = good)</t>
  </si>
  <si>
    <t>Drechslera (1–9, 1 = poor, 9 = good)</t>
  </si>
  <si>
    <t>Mildew (1–9, 1 = poor, 9 = good)</t>
  </si>
  <si>
    <t>Year first listed, breeder and agent</t>
  </si>
  <si>
    <t>Year first listed</t>
  </si>
  <si>
    <t>Breeder</t>
  </si>
  <si>
    <t>Agent</t>
  </si>
  <si>
    <t>Barenbrug</t>
  </si>
  <si>
    <t>Number of trials for yields</t>
  </si>
  <si>
    <t>1st harvest year</t>
  </si>
  <si>
    <t>2nd harvest year</t>
  </si>
  <si>
    <t>3rd harvest year</t>
  </si>
  <si>
    <t>Note that the mean of G varieties includes all those from early, intermediate and late maturity groups.</t>
  </si>
  <si>
    <t xml:space="preserve">Yields are expressed as a percentage of the mean of all fully recommended PRG varieties in trials. Grazing yields are measured in year 2, conservation yields in years 1 and 3. </t>
  </si>
  <si>
    <t>Grazing D-value is measured from a late-summer cut in year 2 and the grazing ME yields are calculated as total yield multiplied by the D-value x 0.16.</t>
  </si>
  <si>
    <t xml:space="preserve">Conservation D-value is measured from both the 1st and 2nd cuts in year 1.  </t>
  </si>
  <si>
    <t>Conservation ME yields are calculated as the first year first cut multiplied by its D-value x 0.16, plus the first year second cut yield multiplied by its D-value x 0.16.</t>
  </si>
  <si>
    <t>[ ] = Limited data – only available from two trials.</t>
  </si>
  <si>
    <t>No highlighting or LSD for tetraploid varieties as no decisions to be made.</t>
  </si>
  <si>
    <t>Early tetraploid mean (G's only)</t>
  </si>
  <si>
    <t>AberTorch</t>
  </si>
  <si>
    <t>Cooky</t>
  </si>
  <si>
    <t>Barwave</t>
  </si>
  <si>
    <t>[6.9]</t>
  </si>
  <si>
    <t>[8.0]</t>
  </si>
  <si>
    <t>Germinal</t>
  </si>
  <si>
    <t xml:space="preserve">Intermediate perennial ryegrass diploid varieties </t>
  </si>
  <si>
    <t>Int. diploid mean (G's only)</t>
  </si>
  <si>
    <t>Laurelvale</t>
  </si>
  <si>
    <t>Galgorm</t>
  </si>
  <si>
    <t>Bartui</t>
  </si>
  <si>
    <t>Nifty</t>
  </si>
  <si>
    <t>Moira</t>
  </si>
  <si>
    <t>Goldwell</t>
  </si>
  <si>
    <t>AberZeus</t>
  </si>
  <si>
    <t>Portadown</t>
  </si>
  <si>
    <t xml:space="preserve">AberMagic </t>
  </si>
  <si>
    <t>AberWolf</t>
  </si>
  <si>
    <t>Gosford</t>
  </si>
  <si>
    <t>Alecto</t>
  </si>
  <si>
    <t>Agaska</t>
  </si>
  <si>
    <t>AberGreen</t>
  </si>
  <si>
    <t>Farmington</t>
  </si>
  <si>
    <t>AberTweed</t>
  </si>
  <si>
    <t xml:space="preserve">1st cut D-value </t>
  </si>
  <si>
    <t>[6.8]</t>
  </si>
  <si>
    <t>[7.1]</t>
  </si>
  <si>
    <t>Limagrain</t>
  </si>
  <si>
    <t>Int. tetraploid mean (G and S)</t>
  </si>
  <si>
    <t>Fintona</t>
  </si>
  <si>
    <t>Seagoe</t>
  </si>
  <si>
    <t>Tollymore</t>
  </si>
  <si>
    <t>Banbridge</t>
  </si>
  <si>
    <t>Nolwen</t>
  </si>
  <si>
    <t>Ballygowan</t>
  </si>
  <si>
    <t>AberRoot (Festulolium)</t>
  </si>
  <si>
    <t>Castlewellan</t>
  </si>
  <si>
    <t>Ritchie</t>
  </si>
  <si>
    <t>Glenville</t>
  </si>
  <si>
    <t>Chatsworth</t>
  </si>
  <si>
    <t>Futural</t>
  </si>
  <si>
    <t>AberSpey</t>
  </si>
  <si>
    <t>Convey</t>
  </si>
  <si>
    <t>Dunluce</t>
  </si>
  <si>
    <t>AstonEnergy</t>
  </si>
  <si>
    <t xml:space="preserve">2nd cut D-value </t>
  </si>
  <si>
    <t>Goldcrop</t>
  </si>
  <si>
    <t>Late diploid mean (Gs only)</t>
  </si>
  <si>
    <t>Wetherby</t>
  </si>
  <si>
    <t>AberSevern</t>
  </si>
  <si>
    <t>Callan</t>
  </si>
  <si>
    <t>AberEsk</t>
  </si>
  <si>
    <t>Silago</t>
  </si>
  <si>
    <t>Harrenhal</t>
  </si>
  <si>
    <t>Toddington</t>
  </si>
  <si>
    <t>AberTest</t>
  </si>
  <si>
    <t>Graphic</t>
  </si>
  <si>
    <t>Dundrod</t>
  </si>
  <si>
    <t>Scartorp</t>
  </si>
  <si>
    <t>Bandon</t>
  </si>
  <si>
    <t>Angorat</t>
  </si>
  <si>
    <t>Ballyvoy</t>
  </si>
  <si>
    <t>Bomium</t>
  </si>
  <si>
    <t>AberAvon</t>
  </si>
  <si>
    <t>Oakpark</t>
  </si>
  <si>
    <t>Crossgar</t>
  </si>
  <si>
    <t>Frogmore</t>
  </si>
  <si>
    <t>Drumbo</t>
  </si>
  <si>
    <t>Glenarm</t>
  </si>
  <si>
    <t>Fermoy</t>
  </si>
  <si>
    <t>Zorgue</t>
  </si>
  <si>
    <t>AberBann</t>
  </si>
  <si>
    <t>Timuco</t>
  </si>
  <si>
    <t>Charlfield</t>
  </si>
  <si>
    <t>AberThames</t>
  </si>
  <si>
    <t>Swan</t>
  </si>
  <si>
    <t>AberLee</t>
  </si>
  <si>
    <t>Delika</t>
  </si>
  <si>
    <t>AberLiffey</t>
  </si>
  <si>
    <t>AberChoice</t>
  </si>
  <si>
    <t>AberDon</t>
  </si>
  <si>
    <t>[7.8]</t>
  </si>
  <si>
    <t>[8.3]</t>
  </si>
  <si>
    <t>[8.6]</t>
  </si>
  <si>
    <t>GIE Grass</t>
  </si>
  <si>
    <t>Mean of  G  varieties</t>
  </si>
  <si>
    <t>Late tetraploid mean (G and S)</t>
  </si>
  <si>
    <t>Ballintoy</t>
  </si>
  <si>
    <t>AberForth</t>
  </si>
  <si>
    <t>Richhill</t>
  </si>
  <si>
    <t>Ardress</t>
  </si>
  <si>
    <t>Meiduno</t>
  </si>
  <si>
    <t>Gracehill</t>
  </si>
  <si>
    <t>AberGain</t>
  </si>
  <si>
    <t>Nashota</t>
  </si>
  <si>
    <t>AstonEmpire</t>
  </si>
  <si>
    <t>AstonGlory</t>
  </si>
  <si>
    <t>Diploid mean (Gs only)</t>
  </si>
  <si>
    <t>Crocodyl</t>
  </si>
  <si>
    <t>Shakira</t>
  </si>
  <si>
    <t>Bigdyl</t>
  </si>
  <si>
    <t>Fox</t>
  </si>
  <si>
    <t>Giacomo</t>
  </si>
  <si>
    <t>Alamo</t>
  </si>
  <si>
    <t>Pinaco</t>
  </si>
  <si>
    <t>Jaccar</t>
  </si>
  <si>
    <t>Sendero</t>
  </si>
  <si>
    <t>Abys</t>
  </si>
  <si>
    <t>Ascari</t>
  </si>
  <si>
    <t>Exotyl</t>
  </si>
  <si>
    <t>Total annual yields</t>
  </si>
  <si>
    <t>1st harvest year (% of 16.56 t/ha)</t>
  </si>
  <si>
    <t>2nd harvest year (% of 13.02 t/ha)</t>
  </si>
  <si>
    <t>Total yield: Mean (% of 14.86 t/ha)</t>
  </si>
  <si>
    <t>1st and 2nd cut ME yield, 1st harvest year (% of 109,000 MJ/ha)</t>
  </si>
  <si>
    <t>Year of sowing (% of 1.91 t/ha)</t>
  </si>
  <si>
    <t>Conservational seasonal growth (1st harvest year)</t>
  </si>
  <si>
    <t>Early spring growth (% of 1.83 t/ha)</t>
  </si>
  <si>
    <t>1st conservation cut (% of 5.94 t/ha)</t>
  </si>
  <si>
    <t xml:space="preserve">1st conservation cut D-value </t>
  </si>
  <si>
    <t>2nd conservation cut (% of 3.94 t/ha)</t>
  </si>
  <si>
    <t xml:space="preserve">2nd conservation cut D-value </t>
  </si>
  <si>
    <t>Monthly cuts (% of 4.95 t/ha)</t>
  </si>
  <si>
    <t>Ground cover % (1st harvest year)</t>
  </si>
  <si>
    <t>Ground cover % (2nd harvest year)</t>
  </si>
  <si>
    <t>[8.1]</t>
  </si>
  <si>
    <t>[9.0]</t>
  </si>
  <si>
    <t>[5.8]</t>
  </si>
  <si>
    <t>[6.4]</t>
  </si>
  <si>
    <t>[7.9]</t>
  </si>
  <si>
    <t>Brown rust (1–9, 1 = poor, 9 = good)</t>
  </si>
  <si>
    <t>[7.0]</t>
  </si>
  <si>
    <t>[4.8]</t>
  </si>
  <si>
    <t>Ryegrass mosaic virus (1–9, 1 = poor, 9 = good)</t>
  </si>
  <si>
    <t>Semences de France</t>
  </si>
  <si>
    <t>Year of sowing</t>
  </si>
  <si>
    <t xml:space="preserve">Yields are expressed as a percentage of the mean of all fully recommended Italian ryegrass varieties in trials. </t>
  </si>
  <si>
    <t xml:space="preserve">Conservation D-value is measured from both the 2nd and 3rd cuts in year 1. </t>
  </si>
  <si>
    <t>Conservation ME yields are calculated as the first year 2nd cut multiplied by its D-value x 0.16, plus the first year 3rd cut multiplied by its D-value x 0.16.</t>
  </si>
  <si>
    <t>Tetraploid mean (Gs only)</t>
  </si>
  <si>
    <t>Rotor</t>
  </si>
  <si>
    <t>Kigezi 1</t>
  </si>
  <si>
    <t>Emotion</t>
  </si>
  <si>
    <t>Melsprinter</t>
  </si>
  <si>
    <t>Hunter</t>
  </si>
  <si>
    <t>Melsitra</t>
  </si>
  <si>
    <t>Arman</t>
  </si>
  <si>
    <t>Messina</t>
  </si>
  <si>
    <t>Barmultra II</t>
  </si>
  <si>
    <t>Barimax</t>
  </si>
  <si>
    <t>1st and 2nd cut ME yield, first harvest year (% of 109,000 MJ/ha)</t>
  </si>
  <si>
    <t>[8.8]</t>
  </si>
  <si>
    <t>[8.5]</t>
  </si>
  <si>
    <t>[6.3]</t>
  </si>
  <si>
    <t>ILVO</t>
  </si>
  <si>
    <t>Freudenberger</t>
  </si>
  <si>
    <t xml:space="preserve">Hybrid ryegrass diploid varieties </t>
  </si>
  <si>
    <t>Diploid Mean              (= Barsilo)</t>
  </si>
  <si>
    <t>Diploid mean (G and S)</t>
  </si>
  <si>
    <t>Barlaunch</t>
  </si>
  <si>
    <t>Pirol</t>
  </si>
  <si>
    <t>Barsilo</t>
  </si>
  <si>
    <t>Barclamp</t>
  </si>
  <si>
    <t>1st harvest year (% of 16.31 t/ha)</t>
  </si>
  <si>
    <t>2nd harvest year (% of 12.13 t/ha)</t>
  </si>
  <si>
    <t>3rd harvest year (% of 10.81 t/ha)</t>
  </si>
  <si>
    <t>Total yield: Mean (% of 13.23 t/ha)</t>
  </si>
  <si>
    <t>1st and 2nd cut ME yield, first harvest year (% of 108,000 MJ/ha)</t>
  </si>
  <si>
    <t>Early spring growth (% of 1.65 t/ha)</t>
  </si>
  <si>
    <t>1st conservation cut (% of 6.01 t/ha)</t>
  </si>
  <si>
    <t>2nd conservation cut (% of 3.50 t/ha)</t>
  </si>
  <si>
    <t>2nd conservation cut D-value</t>
  </si>
  <si>
    <t>Monthly cuts (% of 5.14 t/ha)</t>
  </si>
  <si>
    <t>Ground cover % (3rd harvest year)</t>
  </si>
  <si>
    <t>Year of sowing (% of 1.42 t/ha)</t>
  </si>
  <si>
    <t>[120]</t>
  </si>
  <si>
    <t>[6.7]</t>
  </si>
  <si>
    <t>Steinach</t>
  </si>
  <si>
    <t xml:space="preserve">Yields are expressed as a percentage of the mean of all fully recommended hybrid ryegrass varieties in trials. </t>
  </si>
  <si>
    <t>Conservation D-value is measured from both the 2nd and 3rd cuts in year 1.</t>
  </si>
  <si>
    <t>Hybrid diploids have more secondary heading than hybrid tetraploids.</t>
  </si>
  <si>
    <t xml:space="preserve">Hybrid ryegrass tetraploid varieties </t>
  </si>
  <si>
    <t>Kubicek                                 (Festulolium)</t>
  </si>
  <si>
    <t>AberEcho</t>
  </si>
  <si>
    <t>Aston Crusader</t>
  </si>
  <si>
    <t>Enduro</t>
  </si>
  <si>
    <t>Utopial</t>
  </si>
  <si>
    <t>Loucama</t>
  </si>
  <si>
    <t xml:space="preserve">Tetragraze            </t>
  </si>
  <si>
    <t xml:space="preserve">Bannfoot      </t>
  </si>
  <si>
    <t>Perkins</t>
  </si>
  <si>
    <t>AberOpal</t>
  </si>
  <si>
    <t>Kirial</t>
  </si>
  <si>
    <t>RGT Cordial</t>
  </si>
  <si>
    <t>AberNiche (Festulolium)</t>
  </si>
  <si>
    <t>Perseus (Festulolium)</t>
  </si>
  <si>
    <t>AberImage</t>
  </si>
  <si>
    <t>[94]</t>
  </si>
  <si>
    <t>[8.9]</t>
  </si>
  <si>
    <t>[7.2]</t>
  </si>
  <si>
    <t>[7.7]</t>
  </si>
  <si>
    <t>[7.5]</t>
  </si>
  <si>
    <t>Timothy varieties</t>
  </si>
  <si>
    <t xml:space="preserve">Presto </t>
  </si>
  <si>
    <t>Promesse</t>
  </si>
  <si>
    <t>Comer</t>
  </si>
  <si>
    <t>Dolina</t>
  </si>
  <si>
    <t>Comtal</t>
  </si>
  <si>
    <t>Winnetou</t>
  </si>
  <si>
    <t>Baronaise</t>
  </si>
  <si>
    <t xml:space="preserve">Grazing management </t>
  </si>
  <si>
    <t>Grazing yield (% of 8.08 t/ha)</t>
  </si>
  <si>
    <t>ME yield (% of 95,000 MJ/ha)</t>
  </si>
  <si>
    <t>Total yield year 1 (% of 11.74 t/ha)</t>
  </si>
  <si>
    <t>ME yield of 1st + 2nd cut year 1 (% of 82 000 MJ/ha)</t>
  </si>
  <si>
    <t>Total yield year 3 (% of 10.84 t/ha)</t>
  </si>
  <si>
    <t>Total yield: Mean (% of 11.33 t/ha)</t>
  </si>
  <si>
    <t>Early grazing yield (% of 1.43 t/ha)</t>
  </si>
  <si>
    <t>Spring (% of 2.71 t/ha)</t>
  </si>
  <si>
    <t>Early summer (% of 2.97 t/ha)</t>
  </si>
  <si>
    <t>Late summer (% of 1.90 t/ha)</t>
  </si>
  <si>
    <t>Autumn (% of 0.85 t/ha)</t>
  </si>
  <si>
    <t>1st cut (% of 5.15 t/ha)</t>
  </si>
  <si>
    <t>2nd cut (% of 2.86 t/ha)</t>
  </si>
  <si>
    <t>3rd cut (% of 1.86 t/ha)</t>
  </si>
  <si>
    <t>4th+ cut (% of 1.87 t/ha)</t>
  </si>
  <si>
    <t xml:space="preserve">Yields are expressed as a percentage of the mean of all fully recommended timothy varieties in trials. Grazing yields are measured in year 2, conservation yields in years 1 and 3. </t>
  </si>
  <si>
    <t>No highlighting or LSD as no decisions to be made.</t>
  </si>
  <si>
    <t xml:space="preserve">White clover varieties </t>
  </si>
  <si>
    <t>AberAce</t>
  </si>
  <si>
    <t xml:space="preserve">Aberystwyth S.184 </t>
  </si>
  <si>
    <t>Quartz</t>
  </si>
  <si>
    <t>Coolfin</t>
  </si>
  <si>
    <t>AberHerald</t>
  </si>
  <si>
    <t>Iona</t>
  </si>
  <si>
    <t>Dublin</t>
  </si>
  <si>
    <t>AberSwan</t>
  </si>
  <si>
    <t>Dungloe</t>
  </si>
  <si>
    <t>AberSirius</t>
  </si>
  <si>
    <t>Ruru</t>
  </si>
  <si>
    <t>Violin</t>
  </si>
  <si>
    <t>Barblanca</t>
  </si>
  <si>
    <t>Emma</t>
  </si>
  <si>
    <t>Clodagh</t>
  </si>
  <si>
    <t>Legacy</t>
  </si>
  <si>
    <t>Kakariki</t>
  </si>
  <si>
    <t>Aran</t>
  </si>
  <si>
    <t>Brianna</t>
  </si>
  <si>
    <t xml:space="preserve">Leaf area (length × breadth mm2) </t>
  </si>
  <si>
    <t>Light defoliation (cutting or rotational cattle grazing) (2nd harvest year)</t>
  </si>
  <si>
    <t xml:space="preserve">Total clover yield (% of 4.45 t/ha) </t>
  </si>
  <si>
    <t xml:space="preserve">Total yield: Grass + clover (% of 9.85 t/ha) </t>
  </si>
  <si>
    <t>% clover</t>
  </si>
  <si>
    <t>Light defoliation (cutting or rotational cattle grazing) (3rd harvest year)</t>
  </si>
  <si>
    <t xml:space="preserve">Total clover yield (% of 3.78 t/ha) </t>
  </si>
  <si>
    <t xml:space="preserve">Total yield of grass + clover (% of 8.77 t/ha) </t>
  </si>
  <si>
    <t xml:space="preserve">Autumn ground cover </t>
  </si>
  <si>
    <t>Light defoliation: Ground cover % (3rd harvest year)</t>
  </si>
  <si>
    <t>Hard defoliation: Ground cover % (3rd harvest year)</t>
  </si>
  <si>
    <t>Spring ground cover</t>
  </si>
  <si>
    <t xml:space="preserve">Clover yield: First cut (% of 0.55 t/ha) </t>
  </si>
  <si>
    <t xml:space="preserve">Clover yield: Last cut (% of 0.52 t/ha) </t>
  </si>
  <si>
    <t xml:space="preserve">Clover yield: First cut (% of 0.57 t/ha) </t>
  </si>
  <si>
    <t xml:space="preserve">Clover yield: Last cut (% of 0.39 t/ha) </t>
  </si>
  <si>
    <t>Light defoliation: Ground cover % (1st harvest year)</t>
  </si>
  <si>
    <t>Light defoliation: Ground cover % (2nd harvest year)</t>
  </si>
  <si>
    <t>Hard defoliation: Ground cover % (1st harvest year)</t>
  </si>
  <si>
    <t>Hard defoliation: Ground cover % (2nd harvest year)</t>
  </si>
  <si>
    <t>Grasslands Innovation</t>
  </si>
  <si>
    <t>AgResearch</t>
  </si>
  <si>
    <t>PGG Wrightson</t>
  </si>
  <si>
    <t>Number of trials for clover yields</t>
  </si>
  <si>
    <t xml:space="preserve">Yields are expressed as a percentage of the mean of all fully recommended white clover varieties in trials. </t>
  </si>
  <si>
    <t>AberClaret</t>
  </si>
  <si>
    <t>Harmonie</t>
  </si>
  <si>
    <t xml:space="preserve">Sinope      </t>
  </si>
  <si>
    <t>Fearga</t>
  </si>
  <si>
    <t>Ganymed</t>
  </si>
  <si>
    <t>Taigete</t>
  </si>
  <si>
    <t>RGT Javva</t>
  </si>
  <si>
    <t>Kallichore</t>
  </si>
  <si>
    <t xml:space="preserve">Total yield 1st harvest year (% of 11.49 t/ha) </t>
  </si>
  <si>
    <t>Total yield 2nd harvest year (% of 12.80 t/ha)</t>
  </si>
  <si>
    <t>Total yield 3rd harvest year (% of 8.89 t/ha)</t>
  </si>
  <si>
    <t>Total yield: Mean (% of 11.18 t/ha)</t>
  </si>
  <si>
    <t>Protein content %</t>
  </si>
  <si>
    <t>1st cut – 1st harvest year</t>
  </si>
  <si>
    <t>2nd cut – 2nd harvest year</t>
  </si>
  <si>
    <t>2nd cut – 3rd harvest year</t>
  </si>
  <si>
    <t>Conservation seasonal growth (1st harvest year)</t>
  </si>
  <si>
    <t>1st cut (% of 4.75 t/ha)</t>
  </si>
  <si>
    <t>Protein yield: 1st cut (% of 0.84 t/ha)</t>
  </si>
  <si>
    <t>Conservation seasonal growth (2nd harvest year)</t>
  </si>
  <si>
    <t>2nd cut (% of 3.59 t/ha)</t>
  </si>
  <si>
    <t>Protein yield: 2nd cut (% of 0.69 t/ha)</t>
  </si>
  <si>
    <t>Conservation seasonal growth (3rd harvest year)</t>
  </si>
  <si>
    <t>2nd cut (% of 2.76 t/ha)</t>
  </si>
  <si>
    <t>Protein yield: 2nd cut (% of 0.54 t/ha)</t>
  </si>
  <si>
    <t xml:space="preserve">Yields are expressed as a percentage of the mean of all fully recommended red clover varieties in trials. </t>
  </si>
  <si>
    <t>Amos</t>
  </si>
  <si>
    <t xml:space="preserve">Atlantis          </t>
  </si>
  <si>
    <t>Magellan</t>
  </si>
  <si>
    <t xml:space="preserve">Descriptive list of lucerne varieties </t>
  </si>
  <si>
    <t>Mean of DL varieties</t>
  </si>
  <si>
    <t>Cigale</t>
  </si>
  <si>
    <t>Andantino</t>
  </si>
  <si>
    <t>Barallix</t>
  </si>
  <si>
    <t>Luxury</t>
  </si>
  <si>
    <t>Mezzo</t>
  </si>
  <si>
    <t xml:space="preserve">Descriptive list status </t>
  </si>
  <si>
    <t xml:space="preserve">DL </t>
  </si>
  <si>
    <t>Total yield 1st harvest year (% of 7.78 t/ha)</t>
  </si>
  <si>
    <t>Total yield 2nd harvest year (% of 13.84 t/ha)</t>
  </si>
  <si>
    <t>Total yield: Mean (% of 9.80 t/ha)</t>
  </si>
  <si>
    <t>Seasonal growth (1st harvest year)</t>
  </si>
  <si>
    <t>1st cut (% of 3.56 t/ha)</t>
  </si>
  <si>
    <t>Protein content %: 1st cut</t>
  </si>
  <si>
    <t>GIE</t>
  </si>
  <si>
    <t>Descriptive list of cocksfoot varieties</t>
  </si>
  <si>
    <t>Sparta</t>
  </si>
  <si>
    <t>Lidacta</t>
  </si>
  <si>
    <t>RGT Lovely</t>
  </si>
  <si>
    <t>Grazing management #</t>
  </si>
  <si>
    <t>Grazing yield (% of 9.94 t/ha)</t>
  </si>
  <si>
    <t>Grazing D-value</t>
  </si>
  <si>
    <t>Total yield 1st harvest year (% of 13.04 t/ha)</t>
  </si>
  <si>
    <t>Ground cover % (conservation year 1)</t>
  </si>
  <si>
    <t>Grazing seasonal growth #</t>
  </si>
  <si>
    <t>Early grazing yield (% of 1.80 t/ha)</t>
  </si>
  <si>
    <t>Spring (% of 3.03 t/ha)</t>
  </si>
  <si>
    <t>Early summer (% of 3.22 t/ha)</t>
  </si>
  <si>
    <t>Late summer (% of 2.85 t/ha)</t>
  </si>
  <si>
    <t>Autumn (% of 0.84 t/ha)</t>
  </si>
  <si>
    <t>1st cut (% of 4.78 t/ha)</t>
  </si>
  <si>
    <t>1st conservation cut D-value</t>
  </si>
  <si>
    <t>2nd cut (% of 2.41 t/ha)</t>
  </si>
  <si>
    <t>3rd cut (% of 2.69 t/ha)</t>
  </si>
  <si>
    <t>4th+ cut (% of 3.16 t/ha)</t>
  </si>
  <si>
    <t>N/A</t>
  </si>
  <si>
    <t>Resistance to mildew (1–9, 1 = poor, 9 = good)</t>
  </si>
  <si>
    <t>Resistance to mastigosporium (1–9, 1 = poor, 9 = good)</t>
  </si>
  <si>
    <t>[2]</t>
  </si>
  <si>
    <t>Resistance to yellow rust (1–9, 1 = poor, 9 = good)</t>
  </si>
  <si>
    <t>[ ] = Only available from two trials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</si>
</sst>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d\-mmm"/>
    <numFmt numFmtId="165" formatCode="0.0"/>
    <numFmt numFmtId="166" formatCode="0.00000"/>
    <numFmt numFmtId="167" formatCode="0.000"/>
    <numFmt numFmtId="168" formatCode="0.0000000000000000000000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indexed="9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b/>
      <sz val="10"/>
      <color indexed="9"/>
      <name val="Arial"/>
      <family val="2"/>
    </font>
    <font>
      <sz val="10"/>
      <color theme="0" tint="-0.14999847407452621"/>
      <name val="Arial"/>
      <family val="2"/>
    </font>
    <font>
      <sz val="10"/>
      <color theme="0"/>
      <name val="Arial"/>
      <family val="2"/>
    </font>
    <font>
      <u/>
      <sz val="10"/>
      <name val="Arial"/>
      <family val="2"/>
    </font>
    <font>
      <sz val="10"/>
      <color rgb="FF910000"/>
      <name val="Arial"/>
      <family val="2"/>
    </font>
    <font>
      <b/>
      <sz val="10"/>
      <color rgb="FF910000"/>
      <name val="Arial"/>
      <family val="2"/>
    </font>
    <font>
      <sz val="10"/>
      <color rgb="FFC00000"/>
      <name val="Arial"/>
      <family val="2"/>
    </font>
    <font>
      <sz val="10"/>
      <color rgb="FF464646"/>
      <name val="Arial"/>
      <family val="2"/>
    </font>
    <font>
      <b/>
      <sz val="10"/>
      <color rgb="FF505050"/>
      <name val="Arial"/>
      <family val="2"/>
    </font>
    <font>
      <sz val="11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1E631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EBF1D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5" fillId="0" borderId="0"/>
    <xf numFmtId="0" fontId="5" fillId="0" borderId="0"/>
  </cellStyleXfs>
  <cellXfs count="189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4" borderId="1" xfId="0" applyFont="1" applyFill="1" applyBorder="1" applyAlignment="1">
      <alignment horizontal="left" vertical="center"/>
    </xf>
    <xf numFmtId="0" fontId="7" fillId="5" borderId="0" xfId="0" applyFont="1" applyFill="1" applyAlignment="1">
      <alignment wrapText="1"/>
    </xf>
    <xf numFmtId="0" fontId="8" fillId="0" borderId="0" xfId="0" applyFont="1" applyAlignment="1" applyProtection="1">
      <alignment vertical="center"/>
      <protection hidden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 textRotation="90"/>
      <protection hidden="1"/>
    </xf>
    <xf numFmtId="16" fontId="10" fillId="0" borderId="0" xfId="3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3" xfId="0" applyFont="1" applyBorder="1" applyAlignment="1" applyProtection="1">
      <alignment horizontal="left" vertical="center"/>
      <protection hidden="1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7" fillId="0" borderId="3" xfId="0" applyNumberFormat="1" applyFont="1" applyBorder="1" applyAlignment="1" applyProtection="1">
      <alignment horizontal="left" vertical="center"/>
      <protection hidden="1"/>
    </xf>
    <xf numFmtId="164" fontId="5" fillId="0" borderId="3" xfId="0" applyNumberFormat="1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left" vertical="center"/>
    </xf>
    <xf numFmtId="1" fontId="5" fillId="0" borderId="3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vertical="center"/>
    </xf>
    <xf numFmtId="165" fontId="5" fillId="0" borderId="3" xfId="0" applyNumberFormat="1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 applyProtection="1">
      <alignment horizontal="left" vertical="center"/>
      <protection hidden="1"/>
    </xf>
    <xf numFmtId="1" fontId="5" fillId="0" borderId="3" xfId="0" applyNumberFormat="1" applyFont="1" applyBorder="1" applyAlignment="1" applyProtection="1">
      <alignment horizontal="center" vertical="center"/>
      <protection hidden="1"/>
    </xf>
    <xf numFmtId="1" fontId="5" fillId="0" borderId="3" xfId="0" applyNumberFormat="1" applyFont="1" applyBorder="1" applyAlignment="1" applyProtection="1">
      <alignment horizontal="left" vertical="center" wrapText="1"/>
      <protection hidden="1"/>
    </xf>
    <xf numFmtId="166" fontId="10" fillId="0" borderId="0" xfId="0" applyNumberFormat="1" applyFont="1" applyAlignment="1">
      <alignment vertical="center"/>
    </xf>
    <xf numFmtId="1" fontId="5" fillId="0" borderId="3" xfId="0" quotePrefix="1" applyNumberFormat="1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1" fontId="7" fillId="0" borderId="3" xfId="0" applyNumberFormat="1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167" fontId="10" fillId="0" borderId="0" xfId="0" applyNumberFormat="1" applyFont="1" applyAlignment="1">
      <alignment vertical="center"/>
    </xf>
    <xf numFmtId="165" fontId="1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5" fontId="7" fillId="0" borderId="3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65" fontId="5" fillId="0" borderId="3" xfId="0" quotePrefix="1" applyNumberFormat="1" applyFont="1" applyBorder="1" applyAlignment="1" applyProtection="1">
      <alignment horizontal="center" vertical="center"/>
      <protection hidden="1"/>
    </xf>
    <xf numFmtId="165" fontId="5" fillId="0" borderId="3" xfId="0" quotePrefix="1" applyNumberFormat="1" applyFont="1" applyBorder="1" applyAlignment="1">
      <alignment horizontal="center" vertical="center"/>
    </xf>
    <xf numFmtId="0" fontId="5" fillId="0" borderId="3" xfId="0" quotePrefix="1" applyFont="1" applyBorder="1" applyAlignment="1" applyProtection="1">
      <alignment horizontal="center" vertical="center"/>
      <protection hidden="1"/>
    </xf>
    <xf numFmtId="0" fontId="5" fillId="0" borderId="3" xfId="0" quotePrefix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/>
      <protection hidden="1"/>
    </xf>
    <xf numFmtId="0" fontId="11" fillId="0" borderId="0" xfId="0" applyFont="1"/>
    <xf numFmtId="0" fontId="2" fillId="6" borderId="3" xfId="2" applyFont="1" applyFill="1" applyBorder="1" applyAlignment="1" applyProtection="1">
      <alignment horizontal="left" vertical="center"/>
      <protection hidden="1"/>
    </xf>
    <xf numFmtId="0" fontId="1" fillId="6" borderId="3" xfId="2" quotePrefix="1" applyFill="1" applyBorder="1" applyAlignment="1" applyProtection="1">
      <alignment horizontal="center" vertical="center"/>
      <protection hidden="1"/>
    </xf>
    <xf numFmtId="0" fontId="1" fillId="6" borderId="3" xfId="2" applyFill="1" applyBorder="1" applyAlignment="1" applyProtection="1">
      <alignment horizontal="center" vertical="center" wrapText="1"/>
    </xf>
    <xf numFmtId="0" fontId="1" fillId="6" borderId="3" xfId="2" applyFill="1" applyBorder="1" applyAlignment="1" applyProtection="1">
      <alignment horizontal="center" vertical="center"/>
      <protection hidden="1"/>
    </xf>
    <xf numFmtId="1" fontId="1" fillId="0" borderId="3" xfId="1" applyNumberFormat="1" applyFill="1" applyBorder="1" applyAlignment="1" applyProtection="1">
      <alignment horizontal="left"/>
      <protection hidden="1"/>
    </xf>
    <xf numFmtId="0" fontId="1" fillId="0" borderId="3" xfId="2" quotePrefix="1" applyFill="1" applyBorder="1" applyAlignment="1" applyProtection="1">
      <alignment horizontal="center" vertical="center"/>
      <protection hidden="1"/>
    </xf>
    <xf numFmtId="164" fontId="1" fillId="0" borderId="3" xfId="1" applyNumberFormat="1" applyFill="1" applyBorder="1" applyAlignment="1" applyProtection="1">
      <alignment horizontal="center" vertical="center"/>
      <protection hidden="1"/>
    </xf>
    <xf numFmtId="0" fontId="12" fillId="0" borderId="3" xfId="0" applyFont="1" applyBorder="1" applyAlignment="1">
      <alignment horizontal="center"/>
    </xf>
    <xf numFmtId="0" fontId="0" fillId="0" borderId="3" xfId="0" applyBorder="1"/>
    <xf numFmtId="0" fontId="5" fillId="0" borderId="3" xfId="0" applyFont="1" applyBorder="1"/>
    <xf numFmtId="0" fontId="5" fillId="0" borderId="3" xfId="0" applyFont="1" applyBorder="1" applyAlignment="1">
      <alignment horizontal="left"/>
    </xf>
    <xf numFmtId="0" fontId="6" fillId="0" borderId="8" xfId="0" applyFont="1" applyBorder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9" fillId="0" borderId="0" xfId="0" applyFont="1" applyAlignment="1">
      <alignment horizontal="center"/>
    </xf>
    <xf numFmtId="0" fontId="7" fillId="0" borderId="0" xfId="0" applyFont="1" applyAlignment="1" applyProtection="1">
      <alignment horizontal="center" textRotation="90"/>
      <protection hidden="1"/>
    </xf>
    <xf numFmtId="0" fontId="7" fillId="0" borderId="0" xfId="0" applyFont="1" applyAlignment="1" applyProtection="1">
      <alignment horizontal="center" textRotation="90" wrapText="1"/>
      <protection hidden="1"/>
    </xf>
    <xf numFmtId="0" fontId="8" fillId="0" borderId="0" xfId="0" applyFont="1"/>
    <xf numFmtId="0" fontId="5" fillId="0" borderId="3" xfId="0" applyFont="1" applyBorder="1" applyAlignment="1" applyProtection="1">
      <alignment horizontal="center" vertical="center"/>
      <protection hidden="1"/>
    </xf>
    <xf numFmtId="1" fontId="7" fillId="0" borderId="3" xfId="0" applyNumberFormat="1" applyFont="1" applyBorder="1" applyAlignment="1" applyProtection="1">
      <alignment horizontal="left"/>
      <protection hidden="1"/>
    </xf>
    <xf numFmtId="1" fontId="5" fillId="0" borderId="3" xfId="0" quotePrefix="1" applyNumberFormat="1" applyFont="1" applyBorder="1" applyAlignment="1" applyProtection="1">
      <alignment horizontal="center"/>
      <protection hidden="1"/>
    </xf>
    <xf numFmtId="0" fontId="5" fillId="0" borderId="3" xfId="0" applyFont="1" applyBorder="1" applyAlignment="1">
      <alignment horizontal="center"/>
    </xf>
    <xf numFmtId="165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 applyProtection="1">
      <alignment vertical="center"/>
      <protection hidden="1"/>
    </xf>
    <xf numFmtId="0" fontId="3" fillId="0" borderId="0" xfId="0" applyFont="1"/>
    <xf numFmtId="49" fontId="5" fillId="0" borderId="3" xfId="0" applyNumberFormat="1" applyFont="1" applyBorder="1" applyAlignment="1">
      <alignment horizontal="center"/>
    </xf>
    <xf numFmtId="2" fontId="0" fillId="0" borderId="0" xfId="0" applyNumberFormat="1" applyAlignment="1">
      <alignment vertical="center"/>
    </xf>
    <xf numFmtId="0" fontId="7" fillId="0" borderId="0" xfId="0" applyFont="1"/>
    <xf numFmtId="1" fontId="5" fillId="0" borderId="3" xfId="0" quotePrefix="1" applyNumberFormat="1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0" fontId="13" fillId="0" borderId="0" xfId="0" applyFont="1"/>
    <xf numFmtId="49" fontId="5" fillId="0" borderId="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 applyProtection="1">
      <alignment horizontal="center"/>
      <protection hidden="1"/>
    </xf>
    <xf numFmtId="0" fontId="9" fillId="0" borderId="0" xfId="0" applyFont="1"/>
    <xf numFmtId="0" fontId="5" fillId="0" borderId="3" xfId="0" quotePrefix="1" applyFont="1" applyBorder="1" applyAlignment="1">
      <alignment horizontal="center" vertical="center" wrapText="1"/>
    </xf>
    <xf numFmtId="0" fontId="5" fillId="0" borderId="0" xfId="0" applyFont="1"/>
    <xf numFmtId="16" fontId="5" fillId="0" borderId="3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65" fontId="5" fillId="0" borderId="3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165" fontId="5" fillId="0" borderId="3" xfId="0" applyNumberFormat="1" applyFont="1" applyBorder="1" applyAlignment="1" applyProtection="1">
      <alignment horizontal="left" vertical="center"/>
      <protection hidden="1"/>
    </xf>
    <xf numFmtId="0" fontId="0" fillId="0" borderId="4" xfId="0" applyBorder="1" applyAlignment="1">
      <alignment horizontal="right" vertical="center"/>
    </xf>
    <xf numFmtId="0" fontId="5" fillId="0" borderId="3" xfId="0" applyFont="1" applyBorder="1" applyAlignment="1" applyProtection="1">
      <alignment horizontal="left" vertical="center"/>
      <protection hidden="1"/>
    </xf>
    <xf numFmtId="0" fontId="0" fillId="0" borderId="10" xfId="0" applyBorder="1" applyAlignment="1">
      <alignment vertical="center"/>
    </xf>
    <xf numFmtId="0" fontId="5" fillId="0" borderId="5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3" xfId="0" applyFont="1" applyBorder="1" applyAlignment="1" applyProtection="1">
      <alignment horizontal="center"/>
      <protection hidden="1"/>
    </xf>
    <xf numFmtId="165" fontId="0" fillId="0" borderId="0" xfId="0" applyNumberFormat="1" applyAlignment="1">
      <alignment horizontal="center"/>
    </xf>
    <xf numFmtId="0" fontId="14" fillId="0" borderId="0" xfId="0" applyFont="1" applyAlignment="1" applyProtection="1">
      <alignment vertical="top"/>
      <protection hidden="1"/>
    </xf>
    <xf numFmtId="0" fontId="14" fillId="0" borderId="0" xfId="0" applyFont="1" applyAlignment="1" applyProtection="1">
      <alignment horizontal="center"/>
      <protection hidden="1"/>
    </xf>
    <xf numFmtId="16" fontId="0" fillId="0" borderId="0" xfId="0" applyNumberFormat="1" applyAlignment="1">
      <alignment vertical="center"/>
    </xf>
    <xf numFmtId="16" fontId="0" fillId="0" borderId="0" xfId="0" applyNumberFormat="1" applyAlignment="1">
      <alignment horizontal="right" vertical="center"/>
    </xf>
    <xf numFmtId="0" fontId="0" fillId="0" borderId="11" xfId="0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12" xfId="0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" fontId="5" fillId="0" borderId="0" xfId="0" applyNumberFormat="1" applyFont="1" applyAlignment="1" applyProtection="1">
      <alignment horizontal="center" vertical="center"/>
      <protection hidden="1"/>
    </xf>
    <xf numFmtId="1" fontId="5" fillId="0" borderId="0" xfId="0" quotePrefix="1" applyNumberFormat="1" applyFont="1" applyAlignment="1" applyProtection="1">
      <alignment horizontal="center" vertical="center"/>
      <protection hidden="1"/>
    </xf>
    <xf numFmtId="165" fontId="5" fillId="0" borderId="0" xfId="0" applyNumberFormat="1" applyFont="1" applyAlignment="1" applyProtection="1">
      <alignment horizontal="center" vertical="center"/>
      <protection hidden="1"/>
    </xf>
    <xf numFmtId="0" fontId="0" fillId="0" borderId="7" xfId="0" applyBorder="1" applyAlignment="1">
      <alignment vertical="center"/>
    </xf>
    <xf numFmtId="165" fontId="5" fillId="0" borderId="3" xfId="0" applyNumberFormat="1" applyFont="1" applyBorder="1" applyAlignment="1" applyProtection="1">
      <alignment horizontal="center" vertical="center" wrapText="1"/>
      <protection hidden="1"/>
    </xf>
    <xf numFmtId="165" fontId="5" fillId="0" borderId="3" xfId="0" quotePrefix="1" applyNumberFormat="1" applyFont="1" applyBorder="1" applyAlignment="1" applyProtection="1">
      <alignment horizontal="center" vertical="center" wrapText="1"/>
      <protection hidden="1"/>
    </xf>
    <xf numFmtId="165" fontId="5" fillId="0" borderId="0" xfId="0" quotePrefix="1" applyNumberFormat="1" applyFont="1" applyAlignment="1" applyProtection="1">
      <alignment horizontal="center" vertical="center"/>
      <protection hidden="1"/>
    </xf>
    <xf numFmtId="0" fontId="5" fillId="0" borderId="0" xfId="0" quotePrefix="1" applyFont="1" applyAlignment="1" applyProtection="1">
      <alignment horizontal="center" vertical="center"/>
      <protection hidden="1"/>
    </xf>
    <xf numFmtId="0" fontId="15" fillId="0" borderId="3" xfId="0" applyFont="1" applyBorder="1" applyAlignment="1">
      <alignment horizontal="center" vertical="center"/>
    </xf>
    <xf numFmtId="0" fontId="5" fillId="0" borderId="0" xfId="0" applyFont="1" applyAlignment="1" applyProtection="1">
      <alignment horizontal="center"/>
      <protection hidden="1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0" borderId="0" xfId="0" applyFont="1" applyAlignment="1" applyProtection="1">
      <alignment horizontal="center"/>
      <protection hidden="1"/>
    </xf>
    <xf numFmtId="0" fontId="13" fillId="0" borderId="0" xfId="0" applyFont="1" applyAlignment="1">
      <alignment horizontal="center" textRotation="90" wrapText="1"/>
    </xf>
    <xf numFmtId="0" fontId="7" fillId="0" borderId="0" xfId="4" applyFont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16" fontId="7" fillId="0" borderId="0" xfId="0" applyNumberFormat="1" applyFont="1"/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13" xfId="0" applyNumberFormat="1" applyFont="1" applyBorder="1" applyAlignment="1">
      <alignment vertical="center"/>
    </xf>
    <xf numFmtId="1" fontId="7" fillId="0" borderId="14" xfId="0" applyNumberFormat="1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2" fontId="11" fillId="0" borderId="0" xfId="0" applyNumberFormat="1" applyFont="1" applyAlignment="1">
      <alignment horizontal="center"/>
    </xf>
    <xf numFmtId="0" fontId="8" fillId="0" borderId="0" xfId="0" applyFont="1" applyAlignment="1" applyProtection="1">
      <alignment horizontal="left" vertical="center"/>
      <protection hidden="1"/>
    </xf>
    <xf numFmtId="0" fontId="10" fillId="0" borderId="0" xfId="0" applyFont="1"/>
    <xf numFmtId="0" fontId="7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hidden="1"/>
    </xf>
    <xf numFmtId="1" fontId="5" fillId="0" borderId="3" xfId="4" applyNumberFormat="1" applyBorder="1" applyAlignment="1" applyProtection="1">
      <alignment horizontal="left" vertical="center"/>
      <protection hidden="1"/>
    </xf>
    <xf numFmtId="1" fontId="5" fillId="0" borderId="3" xfId="4" applyNumberFormat="1" applyBorder="1" applyAlignment="1" applyProtection="1">
      <alignment horizontal="center" vertical="center"/>
      <protection hidden="1"/>
    </xf>
    <xf numFmtId="0" fontId="5" fillId="0" borderId="3" xfId="4" applyBorder="1" applyAlignment="1" applyProtection="1">
      <alignment horizontal="left" vertical="center"/>
      <protection hidden="1"/>
    </xf>
    <xf numFmtId="0" fontId="7" fillId="0" borderId="3" xfId="4" applyFont="1" applyBorder="1" applyAlignment="1" applyProtection="1">
      <alignment horizontal="left" vertical="center"/>
      <protection hidden="1"/>
    </xf>
    <xf numFmtId="0" fontId="5" fillId="0" borderId="3" xfId="4" applyBorder="1" applyAlignment="1" applyProtection="1">
      <alignment horizontal="center" vertical="center"/>
      <protection hidden="1"/>
    </xf>
    <xf numFmtId="0" fontId="7" fillId="0" borderId="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168" fontId="5" fillId="0" borderId="3" xfId="0" applyNumberFormat="1" applyFont="1" applyBorder="1"/>
    <xf numFmtId="0" fontId="5" fillId="0" borderId="0" xfId="0" applyFont="1" applyAlignment="1">
      <alignment horizontal="left" vertical="center"/>
    </xf>
    <xf numFmtId="1" fontId="5" fillId="0" borderId="0" xfId="0" applyNumberFormat="1" applyFont="1"/>
    <xf numFmtId="0" fontId="17" fillId="0" borderId="0" xfId="0" applyFont="1"/>
    <xf numFmtId="0" fontId="7" fillId="0" borderId="15" xfId="0" applyFont="1" applyBorder="1"/>
    <xf numFmtId="0" fontId="6" fillId="0" borderId="0" xfId="0" applyFont="1" applyAlignment="1" applyProtection="1">
      <alignment horizontal="left" vertical="center"/>
      <protection hidden="1"/>
    </xf>
    <xf numFmtId="0" fontId="18" fillId="0" borderId="0" xfId="0" applyFont="1"/>
    <xf numFmtId="0" fontId="9" fillId="0" borderId="0" xfId="0" applyFont="1" applyProtection="1">
      <protection hidden="1"/>
    </xf>
    <xf numFmtId="0" fontId="7" fillId="0" borderId="3" xfId="0" applyFont="1" applyBorder="1" applyAlignment="1" applyProtection="1">
      <alignment vertical="center" wrapText="1"/>
      <protection hidden="1"/>
    </xf>
    <xf numFmtId="165" fontId="5" fillId="0" borderId="3" xfId="4" applyNumberFormat="1" applyBorder="1" applyAlignment="1" applyProtection="1">
      <alignment horizontal="left" vertical="center"/>
      <protection hidden="1"/>
    </xf>
    <xf numFmtId="165" fontId="7" fillId="0" borderId="3" xfId="4" applyNumberFormat="1" applyFont="1" applyBorder="1" applyAlignment="1" applyProtection="1">
      <alignment horizontal="left" vertical="center"/>
      <protection hidden="1"/>
    </xf>
    <xf numFmtId="167" fontId="5" fillId="0" borderId="3" xfId="0" applyNumberFormat="1" applyFont="1" applyBorder="1" applyAlignment="1" applyProtection="1">
      <alignment horizontal="center" vertical="center"/>
      <protection hidden="1"/>
    </xf>
    <xf numFmtId="0" fontId="14" fillId="0" borderId="0" xfId="0" applyFont="1" applyProtection="1">
      <protection hidden="1"/>
    </xf>
    <xf numFmtId="0" fontId="19" fillId="0" borderId="3" xfId="0" applyFont="1" applyBorder="1" applyAlignment="1" applyProtection="1">
      <alignment horizontal="center" vertical="center"/>
      <protection hidden="1"/>
    </xf>
    <xf numFmtId="2" fontId="5" fillId="0" borderId="0" xfId="0" applyNumberFormat="1" applyFont="1"/>
    <xf numFmtId="0" fontId="5" fillId="0" borderId="3" xfId="4" applyBorder="1" applyAlignment="1">
      <alignment horizontal="left" vertical="center"/>
    </xf>
    <xf numFmtId="0" fontId="6" fillId="0" borderId="0" xfId="0" applyFont="1" applyProtection="1">
      <protection hidden="1"/>
    </xf>
    <xf numFmtId="1" fontId="0" fillId="0" borderId="0" xfId="0" applyNumberFormat="1"/>
    <xf numFmtId="0" fontId="0" fillId="0" borderId="10" xfId="0" applyBorder="1"/>
    <xf numFmtId="0" fontId="0" fillId="0" borderId="4" xfId="0" applyBorder="1"/>
    <xf numFmtId="165" fontId="2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0" xfId="0" applyAlignment="1">
      <alignment horizontal="left" vertical="center"/>
    </xf>
    <xf numFmtId="1" fontId="0" fillId="0" borderId="3" xfId="0" applyNumberFormat="1" applyBorder="1" applyAlignment="1">
      <alignment horizontal="left"/>
    </xf>
    <xf numFmtId="0" fontId="13" fillId="0" borderId="8" xfId="0" applyFont="1" applyBorder="1" applyAlignment="1" applyProtection="1">
      <alignment horizontal="left" vertical="center"/>
      <protection hidden="1"/>
    </xf>
    <xf numFmtId="0" fontId="13" fillId="0" borderId="8" xfId="0" applyFont="1" applyBorder="1" applyAlignment="1" applyProtection="1">
      <alignment horizontal="center" vertical="center"/>
      <protection hidden="1"/>
    </xf>
    <xf numFmtId="0" fontId="12" fillId="0" borderId="3" xfId="0" applyFont="1" applyBorder="1"/>
    <xf numFmtId="165" fontId="20" fillId="0" borderId="3" xfId="0" applyNumberFormat="1" applyFont="1" applyBorder="1" applyAlignment="1">
      <alignment horizontal="center" vertical="center"/>
    </xf>
    <xf numFmtId="165" fontId="21" fillId="0" borderId="3" xfId="0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2" fillId="0" borderId="3" xfId="0" quotePrefix="1" applyFont="1" applyBorder="1" applyAlignment="1" applyProtection="1">
      <alignment horizontal="center" vertical="center"/>
      <protection hidden="1"/>
    </xf>
    <xf numFmtId="0" fontId="23" fillId="0" borderId="3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25" fillId="0" borderId="3" xfId="0" applyFont="1" applyBorder="1" applyAlignment="1">
      <alignment horizontal="center" vertical="center"/>
    </xf>
  </cellXfs>
  <cellStyles count="5">
    <cellStyle name="20% - Accent3" xfId="1" builtinId="38"/>
    <cellStyle name="40% - Accent3" xfId="2" builtinId="39"/>
    <cellStyle name="Normal" xfId="0" builtinId="0"/>
    <cellStyle name="Normal 10" xfId="4" xr:uid="{7D672577-4FFF-4B32-B20D-5B3AD8A8B5BA}"/>
    <cellStyle name="Normal 13 2" xfId="3" xr:uid="{F301553E-6646-4D36-9F09-B94B267C830A}"/>
  </cellStyles>
  <dxfs count="23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protection locked="1"/>
    </dxf>
    <dxf>
      <protection locked="1"/>
    </dxf>
    <dxf>
      <protection locked="1"/>
    </dxf>
    <dxf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bottom" textRotation="9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protection locked="1"/>
    </dxf>
    <dxf>
      <protection locked="1"/>
    </dxf>
    <dxf>
      <alignment horizontal="center" vertical="bottom" textRotation="0" wrapText="0" indent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bottom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protection locked="1"/>
    </dxf>
    <dxf>
      <alignment horizontal="center" vertical="bottom" textRotation="0" wrapText="0" indent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protection locked="1"/>
    </dxf>
    <dxf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protection locked="1"/>
    </dxf>
    <dxf>
      <alignment horizontal="center" vertical="bottom" textRotation="0" wrapText="0" indent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bottom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protection locked="1"/>
    </dxf>
    <dxf>
      <alignment horizontal="center" vertical="bottom" textRotation="0" wrapText="0" indent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protection locked="1"/>
    </dxf>
    <dxf>
      <alignment horizontal="center" vertical="bottom" textRotation="0" wrapText="0" indent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bottom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protection locked="1"/>
    </dxf>
    <dxf>
      <alignment horizontal="center" vertical="bottom" textRotation="0" wrapText="0" indent="0" justifyLastLine="0" shrinkToFit="0" readingOrder="0"/>
      <protection locked="1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center" vertical="bottom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protection locked="1"/>
    </dxf>
    <dxf>
      <alignment horizontal="center" vertical="bottom" textRotation="0" wrapText="0" indent="0" justifyLastLine="0" shrinkToFit="0" readingOrder="0"/>
      <protection locked="1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  <outline val="0"/>
        <shadow val="0"/>
        <u val="none"/>
        <vertAlign val="baseline"/>
        <sz val="11"/>
        <color theme="0"/>
      </font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protection locked="1"/>
    </dxf>
    <dxf>
      <alignment horizontal="center" vertical="bottom" textRotation="0" wrapText="0" indent="0" justifyLastLine="0" shrinkToFit="0" readingOrder="0"/>
      <protection locked="1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general" vertical="center" textRotation="0" wrapText="0" indent="0" justifyLastLine="0" shrinkToFit="0" readingOrder="0"/>
      <protection locked="1" hidden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alignment horizontal="center" vertical="bottom" textRotation="0" wrapText="0" indent="0" justifyLastLine="0" shrinkToFit="0" readingOrder="0"/>
      <protection locked="1"/>
    </dxf>
    <dxf>
      <protection locked="1"/>
    </dxf>
    <dxf>
      <alignment horizontal="center" vertical="bottom" textRotation="0" wrapText="0" indent="0" justifyLastLine="0" shrinkToFit="0" readingOrder="0"/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protection locked="1"/>
    </dxf>
    <dxf>
      <protection locked="1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9"/>
        <name val="Arial"/>
        <family val="2"/>
        <scheme val="none"/>
      </font>
      <protection locked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alignment horizontal="center" vertical="center" textRotation="9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1"/>
    </dxf>
    <dxf>
      <fill>
        <patternFill patternType="none">
          <bgColor auto="1"/>
        </patternFill>
      </fill>
    </dxf>
    <dxf>
      <fill>
        <patternFill>
          <bgColor rgb="FFEBF1DE"/>
        </patternFill>
      </fill>
    </dxf>
    <dxf>
      <font>
        <color theme="0"/>
      </font>
      <fill>
        <patternFill>
          <bgColor rgb="FF1E631D"/>
        </patternFill>
      </fill>
    </dxf>
  </dxfs>
  <tableStyles count="1" defaultTableStyle="TableStyleMedium2" defaultPivotStyle="PivotStyleLight16">
    <tableStyle name="Table Style 1" pivot="0" count="3" xr9:uid="{0364A774-BFE4-4D36-B86A-EB948B084828}">
      <tableStyleElement type="headerRow" dxfId="237"/>
      <tableStyleElement type="firstRowStripe" dxfId="236"/>
      <tableStyleElement type="secondRowStripe" dxfId="23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1247774</xdr:colOff>
      <xdr:row>0</xdr:row>
      <xdr:rowOff>76240</xdr:rowOff>
    </xdr:from>
    <xdr:to>
      <xdr:col>2</xdr:col>
      <xdr:colOff>3067049</xdr:colOff>
      <xdr:row>2</xdr:row>
      <xdr:rowOff>462013</xdr:rowOff>
    </xdr:to>
    <xdr:pic>
      <xdr:nvPicPr>
        <xdr:cNvPr id="2" name="Picture 1" descr="British Society of Plant Breeders logo.">
          <a:extLst>
            <a:ext uri="{FF2B5EF4-FFF2-40B4-BE49-F238E27FC236}">
              <a16:creationId xmlns:a16="http://schemas.microsoft.com/office/drawing/2014/main" id="{3DA7189C-4BEA-4BCF-B675-1332D5E66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499" y="76240"/>
          <a:ext cx="1819275" cy="1033473"/>
        </a:xfrm>
        <a:prstGeom prst="rect">
          <a:avLst/>
        </a:prstGeom>
      </xdr:spPr>
    </xdr:pic>
    <xdr:clientData/>
  </xdr:twoCellAnchor>
  <xdr:twoCellAnchor editAs="oneCell">
    <xdr:from>
      <xdr:col>1</xdr:col>
      <xdr:colOff>2666999</xdr:colOff>
      <xdr:row>0</xdr:row>
      <xdr:rowOff>28951</xdr:rowOff>
    </xdr:from>
    <xdr:to>
      <xdr:col>2</xdr:col>
      <xdr:colOff>1076324</xdr:colOff>
      <xdr:row>2</xdr:row>
      <xdr:rowOff>454347</xdr:rowOff>
    </xdr:to>
    <xdr:pic>
      <xdr:nvPicPr>
        <xdr:cNvPr id="3" name="Picture 2" descr="British Grassland Society logo.">
          <a:extLst>
            <a:ext uri="{FF2B5EF4-FFF2-40B4-BE49-F238E27FC236}">
              <a16:creationId xmlns:a16="http://schemas.microsoft.com/office/drawing/2014/main" id="{30239029-12A7-4685-8C79-C5691BA0B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4" y="28951"/>
          <a:ext cx="1076325" cy="1073096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0</xdr:row>
      <xdr:rowOff>73113</xdr:rowOff>
    </xdr:from>
    <xdr:to>
      <xdr:col>1</xdr:col>
      <xdr:colOff>2439273</xdr:colOff>
      <xdr:row>2</xdr:row>
      <xdr:rowOff>381001</xdr:rowOff>
    </xdr:to>
    <xdr:pic>
      <xdr:nvPicPr>
        <xdr:cNvPr id="4" name="Picture 3" descr="National Institute of Agricultural Botany logo.">
          <a:extLst>
            <a:ext uri="{FF2B5EF4-FFF2-40B4-BE49-F238E27FC236}">
              <a16:creationId xmlns:a16="http://schemas.microsoft.com/office/drawing/2014/main" id="{911394D5-C878-4615-882C-B103D6D91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4575" y="73113"/>
          <a:ext cx="2115423" cy="955588"/>
        </a:xfrm>
        <a:prstGeom prst="rect">
          <a:avLst/>
        </a:prstGeom>
      </xdr:spPr>
    </xdr:pic>
    <xdr:clientData/>
  </xdr:twoCellAnchor>
  <xdr:twoCellAnchor editAs="oneCell">
    <xdr:from>
      <xdr:col>2</xdr:col>
      <xdr:colOff>3416957</xdr:colOff>
      <xdr:row>0</xdr:row>
      <xdr:rowOff>252127</xdr:rowOff>
    </xdr:from>
    <xdr:to>
      <xdr:col>4</xdr:col>
      <xdr:colOff>247650</xdr:colOff>
      <xdr:row>2</xdr:row>
      <xdr:rowOff>400051</xdr:rowOff>
    </xdr:to>
    <xdr:pic>
      <xdr:nvPicPr>
        <xdr:cNvPr id="5" name="Picture 4" descr="Agricultural and Horticultural Development Board logo.">
          <a:extLst>
            <a:ext uri="{FF2B5EF4-FFF2-40B4-BE49-F238E27FC236}">
              <a16:creationId xmlns:a16="http://schemas.microsoft.com/office/drawing/2014/main" id="{5AF02B77-B6CB-4E74-9630-2FB807D70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4682" y="252127"/>
          <a:ext cx="1678918" cy="7956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2A4A870-D5A3-4F9E-9DDF-B4F3E0D5A8FD}" name="EPRGDIP5" displayName="EPRGDIP5" ref="A3:F50" totalsRowShown="0" headerRowDxfId="224" dataDxfId="234" headerRowBorderDxfId="232" tableBorderDxfId="233" totalsRowBorderDxfId="231">
  <autoFilter ref="A3:F50" xr:uid="{62A4A870-D5A3-4F9E-9DDF-B4F3E0D5A8FD}"/>
  <tableColumns count="6">
    <tableColumn id="1" xr3:uid="{1A530AF8-EC14-423C-96F4-76A127CA01B9}" name="Early perennial ryegrass diploid varieties" dataDxfId="230"/>
    <tableColumn id="2" xr3:uid="{B8EE224C-54AB-45FE-8B0A-57EC940774FF}" name="Mean of G varieties" dataDxfId="229"/>
    <tableColumn id="3" xr3:uid="{6BBD806E-D76F-40E0-830C-9931F6DC184C}" name="Early diploid mean (G's only)" dataDxfId="228"/>
    <tableColumn id="4" xr3:uid="{329FE790-6F1C-4F11-B774-BBB42B25A3DF}" name="Genesis" dataDxfId="227"/>
    <tableColumn id="5" xr3:uid="{9744D3E1-3B68-43BA-810C-A6F00E9E4E72}" name="Moyola" dataDxfId="226"/>
    <tableColumn id="6" xr3:uid="{52D3ADFA-99BD-4439-A1F8-B3FDD4406B64}" name="Glasker" dataDxfId="225"/>
  </tableColumns>
  <tableStyleInfo name="Table Style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B1EF326-D409-48F6-9384-1AF78857D3CE}" name="HRGTET" displayName="HRGTET" ref="A3:R43" totalsRowShown="0" headerRowDxfId="48" dataDxfId="67">
  <autoFilter ref="A3:R43" xr:uid="{0B1EF326-D409-48F6-9384-1AF78857D3CE}"/>
  <tableColumns count="18">
    <tableColumn id="1" xr3:uid="{23F1317E-9A37-408C-A41E-DAF9F324BDF3}" name="Hybrid ryegrass tetraploid varieties " dataDxfId="66"/>
    <tableColumn id="2" xr3:uid="{B8BA182B-C403-4DB6-997B-A460248BE6E2}" name="Mean of G varieties" dataDxfId="65"/>
    <tableColumn id="3" xr3:uid="{CF8FBA5B-3589-4A65-BBD8-3C3E09B6F286}" name="Tetraploid mean (Gs only)" dataDxfId="64"/>
    <tableColumn id="4" xr3:uid="{BF2F9BFB-FBC2-4E70-BAE7-9AA981F0E1CA}" name="Kubicek                                 (Festulolium)" dataDxfId="63"/>
    <tableColumn id="5" xr3:uid="{B2CFC850-BDC2-4317-B41C-D58CFFDD4179}" name="AberEcho" dataDxfId="62"/>
    <tableColumn id="6" xr3:uid="{BBDD33CA-1663-4AB2-87DB-279D5DE22DC3}" name="Aston Crusader" dataDxfId="61"/>
    <tableColumn id="7" xr3:uid="{AF52D2D0-E62A-42AD-B506-5024F18C2103}" name="Enduro" dataDxfId="60"/>
    <tableColumn id="8" xr3:uid="{B8FD8312-23F4-41CF-BF23-23E2C26F9ED2}" name="Utopial" dataDxfId="59"/>
    <tableColumn id="9" xr3:uid="{83C0F739-7528-4F17-B916-FCCC917314DD}" name="Loucama" dataDxfId="58"/>
    <tableColumn id="10" xr3:uid="{6DD4E31F-FAA1-4BD0-824C-64E4A30F2705}" name="Tetragraze            " dataDxfId="57"/>
    <tableColumn id="11" xr3:uid="{E510E318-9302-452B-AEBF-25D2BBBE1AB8}" name="Bannfoot      " dataDxfId="56"/>
    <tableColumn id="12" xr3:uid="{4E93D394-1C25-464F-B8BE-CAF79B320924}" name="Perkins" dataDxfId="55"/>
    <tableColumn id="13" xr3:uid="{70FBED35-5838-4A78-964A-B7383AA5ABAE}" name="AberOpal" dataDxfId="54"/>
    <tableColumn id="14" xr3:uid="{E9F0B110-22E3-4F28-8B00-6AA3AC5730F3}" name="Kirial" dataDxfId="53"/>
    <tableColumn id="15" xr3:uid="{35BEBA21-1DC5-4EE7-8524-8C657B4BB066}" name="RGT Cordial" dataDxfId="52"/>
    <tableColumn id="16" xr3:uid="{B23591D7-12E2-4C95-9796-28C7F4A88A3C}" name="AberNiche (Festulolium)" dataDxfId="51"/>
    <tableColumn id="17" xr3:uid="{BD00FBDA-8F03-456E-886F-3746F88C20C8}" name="Perseus (Festulolium)" dataDxfId="50"/>
    <tableColumn id="18" xr3:uid="{7D553AE6-13D0-4E77-9619-2E50DC4FD123}" name="AberImage" dataDxfId="49"/>
  </tableColumns>
  <tableStyleInfo name="Table Style 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DA6EF33-33B7-4AEF-874E-09D1B0AF26EC}" name="TIM" displayName="TIM" ref="A3:I44" totalsRowShown="0" headerRowDxfId="37" dataDxfId="47">
  <autoFilter ref="A3:I44" xr:uid="{7DA6EF33-33B7-4AEF-874E-09D1B0AF26EC}"/>
  <tableColumns count="9">
    <tableColumn id="1" xr3:uid="{056FE529-1975-435B-94ED-87853DE486B3}" name="Timothy varieties" dataDxfId="46"/>
    <tableColumn id="2" xr3:uid="{D7D8F4B3-54E5-4A20-A356-5B65DD246904}" name="Mean of G varieties" dataDxfId="45"/>
    <tableColumn id="3" xr3:uid="{D68A05BA-596B-4F17-BC12-25365D104A4A}" name="Presto " dataDxfId="44"/>
    <tableColumn id="4" xr3:uid="{CAEDD193-1C08-405D-8A34-C4FC9E192924}" name="Promesse" dataDxfId="43"/>
    <tableColumn id="5" xr3:uid="{A9299B85-4B9E-40CE-B004-283D2D24969B}" name="Comer" dataDxfId="42"/>
    <tableColumn id="6" xr3:uid="{1DCDAA6A-27D7-47D8-A123-249CACC9F12D}" name="Dolina" dataDxfId="41"/>
    <tableColumn id="7" xr3:uid="{792E3B21-8C2F-40FF-A5A3-D64C68045C63}" name="Comtal" dataDxfId="40"/>
    <tableColumn id="8" xr3:uid="{9C8FE412-FF1E-43D3-8072-05756F1EA8BB}" name="Winnetou" dataDxfId="39"/>
    <tableColumn id="9" xr3:uid="{2028DD4F-1F4D-43F3-98C8-2B66B62216F8}" name="Baronaise" dataDxfId="38"/>
  </tableColumns>
  <tableStyleInfo name="Table Style 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1F2F84C-510C-4F0D-91D7-D66F2E1453B2}" name="WC" displayName="WC" ref="A3:T40" totalsRowShown="0" headerRowDxfId="34">
  <autoFilter ref="A3:T40" xr:uid="{51F2F84C-510C-4F0D-91D7-D66F2E1453B2}"/>
  <tableColumns count="20">
    <tableColumn id="1" xr3:uid="{7E5EADDF-5B20-4778-A4E1-C31558180BFF}" name="White clover varieties "/>
    <tableColumn id="2" xr3:uid="{C99C3780-4497-4839-93B8-8B39E3651E4D}" name="AberAce"/>
    <tableColumn id="3" xr3:uid="{B9B6198F-FABF-456F-BD7E-93B3AC45BCBB}" name="Aberystwyth S.184 "/>
    <tableColumn id="4" xr3:uid="{1654589F-B724-4786-8EBE-B85460C6EEE6}" name="Quartz"/>
    <tableColumn id="5" xr3:uid="{FA3EA059-6819-4BF9-B105-1C6C702F57CA}" name="Coolfin"/>
    <tableColumn id="6" xr3:uid="{FAAC614F-F6D3-4FF1-8E0F-62CFEF549977}" name="AberHerald"/>
    <tableColumn id="7" xr3:uid="{DAF51C7B-DF37-4A70-8F88-4929CCF33304}" name="Iona"/>
    <tableColumn id="8" xr3:uid="{6C08AD30-FE2E-4794-B427-9C44F1E9A098}" name="Dublin"/>
    <tableColumn id="9" xr3:uid="{F4F796EE-9487-46AC-BFC5-09069DD20965}" name="AberSwan" dataDxfId="36"/>
    <tableColumn id="10" xr3:uid="{8DB93D16-750E-4147-89F1-7D6A274CDDB0}" name="Dungloe"/>
    <tableColumn id="11" xr3:uid="{64037F05-CC87-4D0F-BCBB-11CDCAB632CA}" name="AberSirius"/>
    <tableColumn id="12" xr3:uid="{6037E988-2AFC-47DF-973C-49C366633DB9}" name="Ruru"/>
    <tableColumn id="13" xr3:uid="{CF2D4285-C489-4F1F-B88E-EB8F7E0F67A3}" name="Violin"/>
    <tableColumn id="14" xr3:uid="{E99D8C03-EEFD-4C4C-A0E2-FED3C3B69737}" name="Barblanca"/>
    <tableColumn id="15" xr3:uid="{C4ADEB74-6303-4854-89D2-4C547C4D99F9}" name="Emma"/>
    <tableColumn id="16" xr3:uid="{BB82BC90-BB9B-43C9-A2EA-08E66B6632C1}" name="Clodagh"/>
    <tableColumn id="17" xr3:uid="{E5C26F05-32DB-4349-AB63-8D47D9EA19A0}" name="Legacy"/>
    <tableColumn id="18" xr3:uid="{E1D0F022-BAE9-4C40-8DF0-BAF6D59A531D}" name="Kakariki"/>
    <tableColumn id="19" xr3:uid="{D259630A-4E42-47F1-B746-F1EA72EA545E}" name="Aran"/>
    <tableColumn id="20" xr3:uid="{D0BE317B-4520-4482-AE88-889B0A63F7AF}" name="Brianna" dataDxfId="35"/>
  </tableColumns>
  <tableStyleInfo name="Table Style 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C906E91-1713-458F-8787-AEA86D12984D}" name="RCDIP" displayName="RCDIP" ref="A3:J35" totalsRowShown="0" headerRowDxfId="20" dataDxfId="33" headerRowBorderDxfId="31" tableBorderDxfId="32">
  <autoFilter ref="A3:J35" xr:uid="{EC906E91-1713-458F-8787-AEA86D12984D}"/>
  <tableColumns count="10">
    <tableColumn id="1" xr3:uid="{125CE2F4-F16E-440E-A5D0-D802A553D23F}" name="Red clover diploid varieties" dataDxfId="30"/>
    <tableColumn id="2" xr3:uid="{747E010B-67C9-4B41-8A96-D8D457753E55}" name="Mean of G varieties" dataDxfId="29"/>
    <tableColumn id="3" xr3:uid="{45F96842-4BB5-46B3-9262-D9F8048EEEF1}" name="AberClaret" dataDxfId="28"/>
    <tableColumn id="4" xr3:uid="{0FCEDD53-C0AB-4D3B-89CB-F3CE0927EAE8}" name="Harmonie" dataDxfId="27"/>
    <tableColumn id="5" xr3:uid="{3EC78E42-4965-449F-B3DE-DD524A96575F}" name="Sinope      " dataDxfId="26"/>
    <tableColumn id="6" xr3:uid="{7554F892-38D9-4608-B237-59CA4691A3D7}" name="Fearga" dataDxfId="25"/>
    <tableColumn id="7" xr3:uid="{DF36D343-798A-4B1A-9DF5-2BB43A897EA1}" name="Ganymed" dataDxfId="24"/>
    <tableColumn id="8" xr3:uid="{69A12AEE-893B-4BB5-BE77-47BD9659B9EB}" name="Taigete" dataDxfId="23"/>
    <tableColumn id="9" xr3:uid="{0BD02713-3B86-488A-B783-E69F6BB2AE3D}" name="RGT Javva" dataDxfId="22"/>
    <tableColumn id="10" xr3:uid="{D9C5E7AE-8DC3-4D32-B552-7CCE1C044919}" name="Kallichore" dataDxfId="21"/>
  </tableColumns>
  <tableStyleInfo name="Table Style 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144BD73-A411-4D46-8933-41A305BC7E8F}" name="RCTET" displayName="RCTET" ref="A3:E35" totalsRowShown="0" headerRowDxfId="11" dataDxfId="19" headerRowBorderDxfId="17" tableBorderDxfId="18">
  <autoFilter ref="A3:E35" xr:uid="{C144BD73-A411-4D46-8933-41A305BC7E8F}"/>
  <tableColumns count="5">
    <tableColumn id="1" xr3:uid="{12A75A07-B55A-4A9B-9F05-DDB6FEBA90D2}" name="Red clover tetraploid varieties" dataDxfId="16"/>
    <tableColumn id="2" xr3:uid="{62A8B04E-2D29-4D65-9835-877EE1F10D55}" name="Mean of G varieties" dataDxfId="15"/>
    <tableColumn id="3" xr3:uid="{10D18BB4-24CF-4956-A14C-99A1E007133C}" name="Amos" dataDxfId="14"/>
    <tableColumn id="4" xr3:uid="{22C6391F-11DD-4EB8-826B-AAE9819027B6}" name="Atlantis          " dataDxfId="13"/>
    <tableColumn id="5" xr3:uid="{55996293-B208-43A2-BF8F-5000801046ED}" name="Magellan" dataDxfId="12"/>
  </tableColumns>
  <tableStyleInfo name="Table Style 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F8B6F0C-98BB-4F35-BA0C-1CB59474C8FD}" name="LU" displayName="LU" ref="A3:G21" totalsRowShown="0" headerRowDxfId="8">
  <autoFilter ref="A3:G21" xr:uid="{CF8B6F0C-98BB-4F35-BA0C-1CB59474C8FD}"/>
  <tableColumns count="7">
    <tableColumn id="1" xr3:uid="{FE71F9B9-A138-4F24-B3DF-C283A4459377}" name="Descriptive list of lucerne varieties " dataDxfId="10" dataCellStyle="Normal 10"/>
    <tableColumn id="2" xr3:uid="{E1A8B075-C2CC-45AE-BAAB-310860CDE2EC}" name="Mean of DL varieties" dataDxfId="9" dataCellStyle="Normal 10"/>
    <tableColumn id="3" xr3:uid="{8FAE8B0E-3D82-4EA3-908F-783A6B7B5F1E}" name="Cigale"/>
    <tableColumn id="4" xr3:uid="{4A2194E1-56C7-4D0D-9E73-03CD0E74143F}" name="Andantino"/>
    <tableColumn id="5" xr3:uid="{E1F62EE7-FC30-45A8-8333-A53C6B08FA81}" name="Barallix"/>
    <tableColumn id="6" xr3:uid="{06079C23-0A9F-4CE8-AE96-136444C4E674}" name="Luxury"/>
    <tableColumn id="7" xr3:uid="{B4EB4B3F-6354-40B8-AF4E-6DD9109CAA37}" name="Mezzo"/>
  </tableColumns>
  <tableStyleInfo name="Table Style 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13E0B3A-B87E-40A8-804C-9036D8B17CE0}" name="CFT" displayName="CFT" ref="A3:E37" totalsRowShown="0" headerRowDxfId="0" dataDxfId="7" headerRowBorderDxfId="5" tableBorderDxfId="6" dataCellStyle="Normal 10">
  <autoFilter ref="A3:E37" xr:uid="{F13E0B3A-B87E-40A8-804C-9036D8B17CE0}"/>
  <tableColumns count="5">
    <tableColumn id="1" xr3:uid="{25AA20F9-69B1-4508-AEA4-0CB6042C36EB}" name="Descriptive list of cocksfoot varieties"/>
    <tableColumn id="2" xr3:uid="{DFF77101-0F55-45F7-B1D9-F1011BFACAFD}" name="Mean of DL varieties" dataDxfId="4" dataCellStyle="Normal 10"/>
    <tableColumn id="3" xr3:uid="{A56AB929-75DA-4CCA-BFEA-35D8707DAD3C}" name="Sparta" dataDxfId="3" dataCellStyle="Normal 10"/>
    <tableColumn id="4" xr3:uid="{A13681C5-66E4-43C9-A407-31FEB9D7136F}" name="Lidacta" dataDxfId="2" dataCellStyle="Normal 10"/>
    <tableColumn id="5" xr3:uid="{2C95B816-17E1-4FA6-9CAE-355D31F9F6B5}" name="RGT Lovely" dataDxfId="1" dataCellStyle="Normal 10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2386B12-409B-481C-B0EC-048629AF3E8E}" name="EPRGTET" displayName="EPRGTET" ref="A3:F50" totalsRowShown="0" headerRowDxfId="214" dataDxfId="223" headerRowBorderDxfId="221" tableBorderDxfId="222">
  <autoFilter ref="A3:F50" xr:uid="{62386B12-409B-481C-B0EC-048629AF3E8E}"/>
  <tableColumns count="6">
    <tableColumn id="1" xr3:uid="{E1CCB5C6-7717-49EB-A01E-EAF1CDC9DB28}" name="Early perennial ryegrass tetraploid varieties" dataDxfId="220"/>
    <tableColumn id="2" xr3:uid="{B4E39D49-B028-4555-A8B4-138750D85666}" name="Mean of G varieties" dataDxfId="219"/>
    <tableColumn id="3" xr3:uid="{13F4A11D-F3BD-4B24-A787-498D6CFA0F4E}" name="Early tetraploid mean (G's only)" dataDxfId="218"/>
    <tableColumn id="4" xr3:uid="{FC22F042-4AC2-48E1-906E-4057B44C8AAD}" name="AberTorch" dataDxfId="217"/>
    <tableColumn id="5" xr3:uid="{4FF13B76-AA82-4AFA-BF85-D9F01187CCF2}" name="Cooky" dataDxfId="216"/>
    <tableColumn id="6" xr3:uid="{1EA31143-C8A5-4C25-8F28-1470487DF9E3}" name="Barwave" dataDxfId="215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C0DBD3-E624-43A5-80AA-2B172F8053D0}" name="IPRGDIP" displayName="IPRGDIP" ref="A3:S49" totalsRowShown="0" headerRowDxfId="193" dataDxfId="213">
  <autoFilter ref="A3:S49" xr:uid="{E6C0DBD3-E624-43A5-80AA-2B172F8053D0}"/>
  <tableColumns count="19">
    <tableColumn id="1" xr3:uid="{B8FFB805-6BC0-4F23-94D5-1640B939C7C1}" name="Intermediate perennial ryegrass diploid varieties " dataDxfId="212"/>
    <tableColumn id="2" xr3:uid="{370FED9B-124F-437E-85C0-9C9B4ABA4B79}" name="Mean of G varieties" dataDxfId="211"/>
    <tableColumn id="3" xr3:uid="{5722C241-0999-416F-B594-3F8B6B513A49}" name="Int. diploid mean (G's only)" dataDxfId="210"/>
    <tableColumn id="4" xr3:uid="{47A390EA-03EC-4ADB-8958-AA674AFE4CE3}" name="Laurelvale" dataDxfId="209"/>
    <tableColumn id="5" xr3:uid="{DC4F7319-C6B9-4FC5-A908-25CF2896EDBB}" name="Galgorm" dataDxfId="208"/>
    <tableColumn id="6" xr3:uid="{632AA158-EB78-4C4A-9F65-5D1DA8238F83}" name="Bartui" dataDxfId="207"/>
    <tableColumn id="7" xr3:uid="{A73C2DB6-E633-4BBC-B0A6-CD086D1E9DCE}" name="Nifty" dataDxfId="206"/>
    <tableColumn id="9" xr3:uid="{1D02E78E-4E01-4A81-9AAD-2D92FECB3CB0}" name="Moira" dataDxfId="205"/>
    <tableColumn id="10" xr3:uid="{0C894E81-40F7-4E72-9D15-8E477DB1F9DC}" name="Goldwell" dataDxfId="204"/>
    <tableColumn id="11" xr3:uid="{D3984B58-79C8-46F7-AC9A-849631B18CA8}" name="AberZeus" dataDxfId="203"/>
    <tableColumn id="12" xr3:uid="{36CCB261-E6C8-4522-BD4F-F5BCF2F5DB3D}" name="Portadown" dataDxfId="202"/>
    <tableColumn id="13" xr3:uid="{994C063B-3DDA-4C43-B3DE-DF0B72AA55FE}" name="AberMagic " dataDxfId="201"/>
    <tableColumn id="14" xr3:uid="{D62D8A4D-CB20-40DF-B8C7-9B74D6368935}" name="AberWolf" dataDxfId="200"/>
    <tableColumn id="15" xr3:uid="{1FEE5352-9CB6-4269-9E54-A474CAF3408F}" name="Gosford" dataDxfId="199"/>
    <tableColumn id="16" xr3:uid="{647C1B29-DEE5-4E06-A79C-91141B251698}" name="Alecto" dataDxfId="198"/>
    <tableColumn id="17" xr3:uid="{8D4F9696-EDC8-48C6-8990-BD3473F9A21A}" name="Agaska" dataDxfId="197"/>
    <tableColumn id="18" xr3:uid="{08528976-224F-4BD6-BFE8-B6E9B27FF17B}" name="AberGreen" dataDxfId="196"/>
    <tableColumn id="19" xr3:uid="{18281C10-3032-49E4-B870-6DF48800C082}" name="Farmington" dataDxfId="195"/>
    <tableColumn id="20" xr3:uid="{4A4F8264-7B16-4EF3-B597-FA29A7A8D143}" name="AberTweed" dataDxfId="194"/>
  </tableColumns>
  <tableStyleInfo name="Table Style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3DEBDD7-7C4B-4873-8E30-611524457339}" name="IPRGTET" displayName="IPRGTET" ref="A3:S48" totalsRowShown="0" headerRowDxfId="167" dataDxfId="187">
  <autoFilter ref="A3:S48" xr:uid="{F3DEBDD7-7C4B-4873-8E30-611524457339}"/>
  <tableColumns count="19">
    <tableColumn id="1" xr3:uid="{BE08FA9F-EEF5-4577-A71F-C679C730D958}" name="Intermediate perennial ryegrass tetraploid varieties" dataDxfId="186"/>
    <tableColumn id="2" xr3:uid="{F63DD9DC-5ED0-4CF2-8EED-FDCD48D7CB6E}" name="Mean of G varieties" dataDxfId="185"/>
    <tableColumn id="3" xr3:uid="{14109148-5DB9-49BD-BCA2-C00FC3985BF3}" name="Int. tetraploid mean (G and S)" dataDxfId="184"/>
    <tableColumn id="4" xr3:uid="{5E501588-A1E1-49EB-BAA3-3EBA4C93F41E}" name="Fintona" dataDxfId="183"/>
    <tableColumn id="5" xr3:uid="{A9ACC0D7-8462-4F9B-BFB5-DCB53EA4CCB0}" name="Seagoe" dataDxfId="182"/>
    <tableColumn id="6" xr3:uid="{546A3663-6EDF-4AF5-A162-795DA6113963}" name="Tollymore" dataDxfId="181"/>
    <tableColumn id="7" xr3:uid="{33C5902B-894F-4298-A970-78DE804D4081}" name="Banbridge" dataDxfId="180"/>
    <tableColumn id="8" xr3:uid="{8C153E46-12D3-4A2A-A01C-9B907B85016F}" name="Nolwen" dataDxfId="179"/>
    <tableColumn id="9" xr3:uid="{25E653F4-6A2A-4810-A646-82C18EBE8BB8}" name="Ballygowan" dataDxfId="178"/>
    <tableColumn id="10" xr3:uid="{C3858B55-BC32-45A9-8BCA-C5D853B3324B}" name="AberRoot (Festulolium)" dataDxfId="177"/>
    <tableColumn id="11" xr3:uid="{27CA693B-5A6E-4250-A2BF-DECEE5C979E2}" name="Castlewellan" dataDxfId="176"/>
    <tableColumn id="12" xr3:uid="{DD4FDC92-3766-45EA-AB0E-B0244A03C97A}" name="Ritchie" dataDxfId="175"/>
    <tableColumn id="13" xr3:uid="{FFD8397F-BAB4-416B-8282-94E4895C41AE}" name="Glenville" dataDxfId="174"/>
    <tableColumn id="14" xr3:uid="{52A6109B-4000-435D-950C-B7467A8CA877}" name="Chatsworth" dataDxfId="173"/>
    <tableColumn id="15" xr3:uid="{1D2F3D64-F91C-42E9-A9AC-FC714A654F84}" name="Futural" dataDxfId="172"/>
    <tableColumn id="17" xr3:uid="{DA2A4FEC-3EF3-4122-A0A6-BD823C0C14BD}" name="AberSpey" dataDxfId="171"/>
    <tableColumn id="18" xr3:uid="{DC2AF27B-21BF-4973-ABF9-F1B62F2485AF}" name="Convey" dataDxfId="170"/>
    <tableColumn id="19" xr3:uid="{96538AD5-CC61-424C-A691-8DA3B15E0E56}" name="Dunluce" dataDxfId="169"/>
    <tableColumn id="20" xr3:uid="{A5C8D2CC-995E-4826-B7CA-B903DAEA8919}" name="AstonEnergy" dataDxfId="168"/>
  </tableColumns>
  <tableStyleInfo name="Table Style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8181676-6D2B-40C3-907F-EACD02195D49}" name="LPRGDIP" displayName="LPRGDIP" ref="A3:AJ49" totalsRowShown="0" headerRowDxfId="127" dataDxfId="164">
  <autoFilter ref="A3:AJ49" xr:uid="{A8181676-6D2B-40C3-907F-EACD02195D49}"/>
  <tableColumns count="36">
    <tableColumn id="1" xr3:uid="{4996D2FB-7412-4AD2-B571-872BC7603A0F}" name="Late perennial ryegrass diploid varieties" dataDxfId="163"/>
    <tableColumn id="2" xr3:uid="{FC854852-43ED-43B5-8C00-45B251DA18BC}" name="Mean of G varieties" dataDxfId="162"/>
    <tableColumn id="3" xr3:uid="{95B272DE-750E-4AF6-9CDB-A280D51774A3}" name="Late diploid mean (Gs only)" dataDxfId="161"/>
    <tableColumn id="4" xr3:uid="{792C7B18-7C9B-4CA9-89B5-7BABFEE9E6D1}" name="Wetherby" dataDxfId="160"/>
    <tableColumn id="5" xr3:uid="{824677DE-4301-4A1D-8300-4E89869B0E35}" name="AberSevern" dataDxfId="159"/>
    <tableColumn id="6" xr3:uid="{DC048989-42E5-4554-9454-2AAF6828ECF9}" name="Callan" dataDxfId="158"/>
    <tableColumn id="7" xr3:uid="{713C833A-E5E5-47A9-97F1-EFD2BAB207E0}" name="AberEsk" dataDxfId="157"/>
    <tableColumn id="8" xr3:uid="{82D903DA-689C-4238-928C-9C41C2658F78}" name="Silago" dataDxfId="156"/>
    <tableColumn id="9" xr3:uid="{0C8B1B3F-5C6C-45FF-928F-4026319C6F9E}" name="Harrenhal" dataDxfId="155"/>
    <tableColumn id="10" xr3:uid="{763475CA-A763-40E8-BB3D-11AD80F9B426}" name="Toddington" dataDxfId="154"/>
    <tableColumn id="11" xr3:uid="{907EC533-9E72-4ED8-9E39-9A2920397EF0}" name="AberTest" dataDxfId="153"/>
    <tableColumn id="12" xr3:uid="{6D0090A0-A2A7-4E54-9091-600209E5B3EC}" name="Graphic" dataDxfId="152"/>
    <tableColumn id="13" xr3:uid="{A4AE1B79-FCB0-4B91-B029-D0E6AF5CB714}" name="Dundrod" dataDxfId="151"/>
    <tableColumn id="14" xr3:uid="{4342F7CB-045A-4107-A72F-1A721C258C6A}" name="Scartorp" dataDxfId="150"/>
    <tableColumn id="15" xr3:uid="{E4323297-C62F-4AF2-8A6B-FEC66BB2662F}" name="Bandon" dataDxfId="149"/>
    <tableColumn id="16" xr3:uid="{F509BE5D-2753-4CC8-809F-883E2FDA63C3}" name="Angorat" dataDxfId="148"/>
    <tableColumn id="17" xr3:uid="{FE0E7BE1-417F-49B3-B8E7-3BCFA3DCAFFD}" name="Ballyvoy" dataDxfId="147"/>
    <tableColumn id="18" xr3:uid="{54A450D5-8EE0-4C28-A6B3-2238EEE1D13D}" name="Bomium" dataDxfId="146"/>
    <tableColumn id="19" xr3:uid="{58B7AEE8-3648-4D48-A1B5-C39E761279DC}" name="AberAvon" dataDxfId="145"/>
    <tableColumn id="20" xr3:uid="{5FD6E6C5-459D-4906-A133-8BA9DB750887}" name="Oakpark" dataDxfId="144"/>
    <tableColumn id="21" xr3:uid="{B1BCFA61-E181-4EB3-B941-4A7866BAC10B}" name="Crossgar" dataDxfId="143"/>
    <tableColumn id="22" xr3:uid="{B49E37BB-C6D5-4C43-98F1-96B44CD7F177}" name="Frogmore" dataDxfId="142"/>
    <tableColumn id="23" xr3:uid="{BB7356F7-7EDC-4926-8B6C-721F648FC11D}" name="Drumbo" dataDxfId="141"/>
    <tableColumn id="24" xr3:uid="{E353368A-DEF9-4A2D-8E14-4B9EF7D131AA}" name="Glenarm" dataDxfId="140"/>
    <tableColumn id="25" xr3:uid="{44FCCA0C-845C-4E4E-A588-B5456774BCF8}" name="Fermoy" dataDxfId="139"/>
    <tableColumn id="26" xr3:uid="{1D217C00-7BC5-42A8-85B9-429E66466C33}" name="Zorgue" dataDxfId="138"/>
    <tableColumn id="27" xr3:uid="{B964DB32-0E7E-4972-85F0-5BA15F8CDCB4}" name="AberBann" dataDxfId="137"/>
    <tableColumn id="28" xr3:uid="{DE3A212A-ED60-4C0F-B3C3-DDD14DDFB0E8}" name="Timuco" dataDxfId="136"/>
    <tableColumn id="29" xr3:uid="{2E1FA9BD-191B-484D-AAC2-4BE876166A8B}" name="Charlfield" dataDxfId="135"/>
    <tableColumn id="30" xr3:uid="{4B9FEFD6-D3AA-412B-B0B2-FEA95095F922}" name="AberThames" dataDxfId="134"/>
    <tableColumn id="31" xr3:uid="{B93AF107-6F86-4324-9E3D-8F8832D8AC3D}" name="Swan" dataDxfId="133"/>
    <tableColumn id="32" xr3:uid="{BEC300D5-4EA3-4E49-AFDB-2C05C7B7BA77}" name="AberLee" dataDxfId="132"/>
    <tableColumn id="33" xr3:uid="{F5923573-25E7-423E-883C-7D6E02AA3D04}" name="Delika" dataDxfId="131"/>
    <tableColumn id="34" xr3:uid="{E167269E-2395-410D-A159-1C6CBAD457FB}" name="AberLiffey" dataDxfId="130"/>
    <tableColumn id="35" xr3:uid="{F4A98289-2658-4D06-95F1-46684772C564}" name="AberChoice" dataDxfId="129"/>
    <tableColumn id="36" xr3:uid="{C074E6DC-6263-45D9-BB1E-FE8DD797D073}" name="AberDon" dataDxfId="128"/>
  </tableColumns>
  <tableStyleInfo name="Table Style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856E586-3D49-463C-B24D-5B2A64DB0D1F}" name="LPRGTET" displayName="LPRGTET" ref="A3:M49" totalsRowShown="0" headerRowDxfId="110" dataDxfId="124">
  <autoFilter ref="A3:M49" xr:uid="{C856E586-3D49-463C-B24D-5B2A64DB0D1F}"/>
  <tableColumns count="13">
    <tableColumn id="1" xr3:uid="{4F5CFD88-9446-4913-8E49-6E6978C2D76E}" name="Late perennial ryegrass tetraploid varieties" dataDxfId="123"/>
    <tableColumn id="2" xr3:uid="{67072C2A-0E1D-43EE-8FED-8818D6954C32}" name="Mean of  G  varieties" dataDxfId="122"/>
    <tableColumn id="3" xr3:uid="{3E9C7B05-CA77-42AD-B8D8-13915537B6F0}" name="Late tetraploid mean (G and S)" dataDxfId="121"/>
    <tableColumn id="4" xr3:uid="{99D85833-F23C-459A-859E-89C7E7CD5952}" name="Ballintoy" dataDxfId="120"/>
    <tableColumn id="5" xr3:uid="{E73DBBAB-A30D-4BBA-8122-AA11063799EA}" name="AberForth" dataDxfId="119"/>
    <tableColumn id="6" xr3:uid="{2B2A4AEA-B5E1-4826-B04F-8DDE10151AA6}" name="Richhill" dataDxfId="118"/>
    <tableColumn id="7" xr3:uid="{D586E56E-49FC-4598-B3AF-0DEB4CD85C06}" name="Ardress" dataDxfId="117"/>
    <tableColumn id="8" xr3:uid="{BEE2726E-4AF4-4028-8097-1B018C14844D}" name="Meiduno" dataDxfId="116"/>
    <tableColumn id="9" xr3:uid="{8D0E42DB-536A-4649-B600-D158D3D30B38}" name="Gracehill" dataDxfId="115"/>
    <tableColumn id="10" xr3:uid="{4D14D0E1-4973-482F-BE49-CD547D8545FE}" name="AberGain" dataDxfId="114"/>
    <tableColumn id="11" xr3:uid="{16F548E6-4780-48F8-B886-0B7C5D0A5A9E}" name="Nashota" dataDxfId="113"/>
    <tableColumn id="12" xr3:uid="{14AC4B0C-E7FE-4BC2-9D96-A0B5E6192F6D}" name="AstonEmpire" dataDxfId="112"/>
    <tableColumn id="13" xr3:uid="{88C11666-D9AC-410C-A02F-86BB7C64DC82}" name="AstonGlory" dataDxfId="111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00DB11D-5359-4DE2-8BD0-842DD0375F9C}" name="IRGDIP" displayName="IRGDIP" ref="A3:O40" totalsRowShown="0" headerRowDxfId="93" dataDxfId="109">
  <autoFilter ref="A3:O40" xr:uid="{D00DB11D-5359-4DE2-8BD0-842DD0375F9C}"/>
  <tableColumns count="15">
    <tableColumn id="1" xr3:uid="{61FA0577-A950-41EC-8ECF-88B31A28FE89}" name="Italian ryegrass diploid varieties" dataDxfId="108"/>
    <tableColumn id="2" xr3:uid="{56E1601E-AC8C-484F-8ABC-91496A1269EF}" name="Mean of G varieties" dataDxfId="107"/>
    <tableColumn id="3" xr3:uid="{357D5E28-5ABE-4BF5-BE20-DD1B9754659F}" name="Diploid mean (Gs only)" dataDxfId="106"/>
    <tableColumn id="4" xr3:uid="{BB28A176-4829-4F9A-8036-84A5F3D7638B}" name="Crocodyl" dataDxfId="105"/>
    <tableColumn id="5" xr3:uid="{EBC52A08-651D-4291-9AE9-93F0B47A93F0}" name="Shakira" dataDxfId="104"/>
    <tableColumn id="6" xr3:uid="{DA2DF9DF-6450-4792-A6F0-61B6D51A249C}" name="Bigdyl" dataDxfId="103"/>
    <tableColumn id="7" xr3:uid="{E72A90D7-3A9D-4E03-AF50-D1D445232483}" name="Fox" dataDxfId="102"/>
    <tableColumn id="8" xr3:uid="{BC467D2E-839F-49D6-A0EF-5F72C777B5C8}" name="Giacomo" dataDxfId="101"/>
    <tableColumn id="9" xr3:uid="{9C1AB48D-0C56-47E7-AED3-9FD64DDCA987}" name="Alamo" dataDxfId="100"/>
    <tableColumn id="10" xr3:uid="{7FC68951-1D52-4B13-AC89-178166E149E3}" name="Pinaco" dataDxfId="99"/>
    <tableColumn id="11" xr3:uid="{2E2B2EF8-883A-4EC4-B3AA-69628718BB79}" name="Jaccar" dataDxfId="98"/>
    <tableColumn id="12" xr3:uid="{A67091EC-3EC3-4507-9413-6698BCEA6132}" name="Sendero" dataDxfId="97"/>
    <tableColumn id="13" xr3:uid="{49EBBEB8-D96B-49F5-8E58-8C578652D6CF}" name="Abys" dataDxfId="96"/>
    <tableColumn id="15" xr3:uid="{A21C62C7-52FC-460F-9C87-EED2B8108201}" name="Ascari" dataDxfId="95"/>
    <tableColumn id="16" xr3:uid="{6EBC8DDB-644C-43FA-B7D9-1F1641A3254B}" name="Exotyl" dataDxfId="94"/>
  </tableColumns>
  <tableStyleInfo name="Table Style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5A81BBC-D27F-46AD-8A56-33E6CF9CCDBC}" name="IRGTET" displayName="IRGTET" ref="A3:M40" totalsRowShown="0" headerRowDxfId="78" dataDxfId="92">
  <autoFilter ref="A3:M40" xr:uid="{05A81BBC-D27F-46AD-8A56-33E6CF9CCDBC}"/>
  <tableColumns count="13">
    <tableColumn id="1" xr3:uid="{89709898-2CC1-42FF-9843-C424C10B9984}" name="Italian ryegrass tetraploid varieties" dataDxfId="91"/>
    <tableColumn id="2" xr3:uid="{47A5EFF6-E857-46AC-BE60-A6A1EC5A9418}" name="Mean of G varieties" dataDxfId="90"/>
    <tableColumn id="3" xr3:uid="{1DAD335F-CE51-43B8-9604-1B88C0B44A06}" name="Tetraploid mean (Gs only)" dataDxfId="89"/>
    <tableColumn id="4" xr3:uid="{28F6A2FE-D9D8-408F-ACA3-389690440802}" name="Rotor" dataDxfId="88"/>
    <tableColumn id="5" xr3:uid="{5FA6787A-CEA3-4C02-A0C4-5570E29FFAB9}" name="Kigezi 1" dataDxfId="87"/>
    <tableColumn id="6" xr3:uid="{8B7A37C5-71A4-4800-AED3-639C4CFD8629}" name="Emotion" dataDxfId="86"/>
    <tableColumn id="7" xr3:uid="{F56C1ED1-5191-41F1-819E-E0C620C3BF79}" name="Melsprinter" dataDxfId="85"/>
    <tableColumn id="8" xr3:uid="{D0884F6A-1423-497C-8EEF-CF177F8D6085}" name="Hunter" dataDxfId="84"/>
    <tableColumn id="9" xr3:uid="{4D9AB860-6F7D-4B29-BC6E-638E957514BE}" name="Melsitra" dataDxfId="83"/>
    <tableColumn id="10" xr3:uid="{E616FEF9-B108-4F21-AF46-E0A60950E95B}" name="Arman" dataDxfId="82"/>
    <tableColumn id="11" xr3:uid="{8D7A751D-D75E-43B6-ABD0-C815209A94F5}" name="Messina" dataDxfId="81"/>
    <tableColumn id="12" xr3:uid="{F287CBD2-2717-401A-9415-FBCDF2D5402E}" name="Barmultra II" dataDxfId="80"/>
    <tableColumn id="13" xr3:uid="{7A4BDCBF-F31C-4661-AFE0-36F48DDF1F6C}" name="Barimax" dataDxfId="79"/>
  </tableColumns>
  <tableStyleInfo name="Table Style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A83C1B-6A96-4F60-A405-CD71444C6995}" name="HRGDIP" displayName="HRGDIP" ref="A3:H43" totalsRowShown="0" headerRowDxfId="68" dataDxfId="77">
  <autoFilter ref="A3:H43" xr:uid="{B1A83C1B-6A96-4F60-A405-CD71444C6995}"/>
  <tableColumns count="8">
    <tableColumn id="1" xr3:uid="{0036CD66-5DE3-467A-A89C-791D933A72F9}" name="Hybrid ryegrass diploid varieties " dataDxfId="76"/>
    <tableColumn id="2" xr3:uid="{C77E9B1E-88BD-4DC5-BFC6-95C3B3806C9A}" name="Mean of G varieties" dataDxfId="75"/>
    <tableColumn id="3" xr3:uid="{922C91E1-3764-45AC-AC7B-FFD21C5FDC38}" name="Diploid Mean              (= Barsilo)" dataDxfId="74"/>
    <tableColumn id="4" xr3:uid="{06EE370F-D787-4CAB-8295-EA9EA7DBAE54}" name="Diploid mean (G and S)" dataDxfId="73"/>
    <tableColumn id="5" xr3:uid="{0A204008-6F49-4305-B24E-69BB65DC8037}" name="Barlaunch" dataDxfId="72"/>
    <tableColumn id="6" xr3:uid="{13B91D32-8609-474C-8870-947BF0C43C13}" name="Pirol" dataDxfId="71"/>
    <tableColumn id="7" xr3:uid="{74253295-4B2E-419A-BCA5-7C608080F5BD}" name="Barsilo" dataDxfId="70"/>
    <tableColumn id="8" xr3:uid="{66378CCB-2E08-4912-9C97-51F1D2454C74}" name="Barclamp" dataDxfId="69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FE1E6-4F7D-4D52-A121-ACD169A5403B}">
  <dimension ref="A1:C97"/>
  <sheetViews>
    <sheetView tabSelected="1" zoomScaleNormal="100" workbookViewId="0"/>
  </sheetViews>
  <sheetFormatPr defaultRowHeight="15" x14ac:dyDescent="0.25"/>
  <cols>
    <col min="1" max="1" width="29.85546875" customWidth="1"/>
    <col min="2" max="2" width="40" customWidth="1"/>
    <col min="3" max="3" width="63.5703125" customWidth="1"/>
  </cols>
  <sheetData>
    <row r="1" spans="1:3" ht="36" x14ac:dyDescent="0.25">
      <c r="A1" s="1" t="s">
        <v>0</v>
      </c>
      <c r="B1" s="2"/>
      <c r="C1" s="2"/>
    </row>
    <row r="2" spans="1:3" x14ac:dyDescent="0.25">
      <c r="A2" s="2"/>
      <c r="B2" s="2"/>
      <c r="C2" s="2"/>
    </row>
    <row r="3" spans="1:3" ht="39" x14ac:dyDescent="0.25">
      <c r="A3" s="3" t="s">
        <v>1</v>
      </c>
      <c r="B3" s="2"/>
      <c r="C3" s="2"/>
    </row>
    <row r="4" spans="1:3" ht="47.25" customHeight="1" x14ac:dyDescent="0.25">
      <c r="A4" s="2"/>
      <c r="B4" s="2"/>
      <c r="C4" s="2"/>
    </row>
    <row r="5" spans="1:3" x14ac:dyDescent="0.25">
      <c r="A5" s="4" t="s">
        <v>2</v>
      </c>
      <c r="B5" s="4" t="s">
        <v>3</v>
      </c>
      <c r="C5" s="4" t="s">
        <v>4</v>
      </c>
    </row>
    <row r="6" spans="1:3" x14ac:dyDescent="0.25">
      <c r="A6" s="2"/>
      <c r="B6" s="2"/>
      <c r="C6" s="2"/>
    </row>
    <row r="7" spans="1:3" x14ac:dyDescent="0.25">
      <c r="A7" s="5" t="s">
        <v>5</v>
      </c>
      <c r="B7" s="2"/>
      <c r="C7" s="2"/>
    </row>
    <row r="8" spans="1:3" x14ac:dyDescent="0.25">
      <c r="A8" s="2" t="s">
        <v>6</v>
      </c>
      <c r="B8" s="2" t="s">
        <v>7</v>
      </c>
      <c r="C8" s="2" t="s">
        <v>8</v>
      </c>
    </row>
    <row r="9" spans="1:3" x14ac:dyDescent="0.25">
      <c r="A9" s="2" t="s">
        <v>9</v>
      </c>
      <c r="B9" s="2" t="s">
        <v>10</v>
      </c>
      <c r="C9" s="2" t="s">
        <v>11</v>
      </c>
    </row>
    <row r="10" spans="1:3" x14ac:dyDescent="0.25">
      <c r="A10" s="2" t="s">
        <v>12</v>
      </c>
      <c r="B10" s="2" t="s">
        <v>13</v>
      </c>
      <c r="C10" s="3" t="s">
        <v>14</v>
      </c>
    </row>
    <row r="11" spans="1:3" x14ac:dyDescent="0.25">
      <c r="A11" s="2" t="s">
        <v>15</v>
      </c>
      <c r="B11" s="2" t="s">
        <v>16</v>
      </c>
      <c r="C11" s="3" t="s">
        <v>17</v>
      </c>
    </row>
    <row r="12" spans="1:3" x14ac:dyDescent="0.25">
      <c r="A12" s="2" t="s">
        <v>18</v>
      </c>
      <c r="B12" s="2" t="s">
        <v>19</v>
      </c>
      <c r="C12" s="2" t="s">
        <v>20</v>
      </c>
    </row>
    <row r="13" spans="1:3" x14ac:dyDescent="0.25">
      <c r="A13" s="2" t="s">
        <v>21</v>
      </c>
      <c r="B13" s="2" t="s">
        <v>22</v>
      </c>
      <c r="C13" s="2" t="s">
        <v>23</v>
      </c>
    </row>
    <row r="14" spans="1:3" x14ac:dyDescent="0.25">
      <c r="A14" s="2"/>
      <c r="B14" s="2"/>
      <c r="C14" s="2"/>
    </row>
    <row r="15" spans="1:3" x14ac:dyDescent="0.25">
      <c r="A15" s="5" t="s">
        <v>24</v>
      </c>
      <c r="B15" s="2"/>
      <c r="C15" s="2"/>
    </row>
    <row r="16" spans="1:3" x14ac:dyDescent="0.25">
      <c r="A16" s="2" t="s">
        <v>25</v>
      </c>
      <c r="B16" s="2" t="s">
        <v>26</v>
      </c>
      <c r="C16" s="2" t="s">
        <v>27</v>
      </c>
    </row>
    <row r="17" spans="1:3" x14ac:dyDescent="0.25">
      <c r="A17" s="2" t="s">
        <v>28</v>
      </c>
      <c r="B17" s="2" t="s">
        <v>29</v>
      </c>
      <c r="C17" s="2" t="s">
        <v>30</v>
      </c>
    </row>
    <row r="18" spans="1:3" x14ac:dyDescent="0.25">
      <c r="A18" s="2" t="s">
        <v>31</v>
      </c>
      <c r="B18" s="2" t="s">
        <v>32</v>
      </c>
      <c r="C18" s="2" t="s">
        <v>33</v>
      </c>
    </row>
    <row r="19" spans="1:3" x14ac:dyDescent="0.25">
      <c r="A19" s="2" t="s">
        <v>34</v>
      </c>
      <c r="B19" s="2" t="s">
        <v>35</v>
      </c>
      <c r="C19" s="2" t="s">
        <v>36</v>
      </c>
    </row>
    <row r="20" spans="1:3" x14ac:dyDescent="0.25">
      <c r="A20" s="2" t="s">
        <v>37</v>
      </c>
      <c r="B20" s="2" t="s">
        <v>38</v>
      </c>
      <c r="C20" s="2" t="s">
        <v>39</v>
      </c>
    </row>
    <row r="21" spans="1:3" x14ac:dyDescent="0.25">
      <c r="A21" s="2"/>
      <c r="B21" s="2"/>
      <c r="C21" s="2"/>
    </row>
    <row r="22" spans="1:3" x14ac:dyDescent="0.25">
      <c r="A22" s="5" t="s">
        <v>40</v>
      </c>
      <c r="B22" s="2"/>
      <c r="C22" s="2"/>
    </row>
    <row r="23" spans="1:3" x14ac:dyDescent="0.25">
      <c r="A23" s="2" t="s">
        <v>41</v>
      </c>
      <c r="B23" s="2" t="s">
        <v>42</v>
      </c>
      <c r="C23" s="2" t="s">
        <v>43</v>
      </c>
    </row>
    <row r="24" spans="1:3" x14ac:dyDescent="0.25">
      <c r="A24" s="2" t="s">
        <v>44</v>
      </c>
      <c r="B24" s="2" t="s">
        <v>45</v>
      </c>
      <c r="C24" s="2" t="s">
        <v>46</v>
      </c>
    </row>
    <row r="25" spans="1:3" x14ac:dyDescent="0.25">
      <c r="A25" s="2" t="s">
        <v>47</v>
      </c>
      <c r="B25" s="2" t="s">
        <v>48</v>
      </c>
      <c r="C25" s="2" t="s">
        <v>49</v>
      </c>
    </row>
    <row r="26" spans="1:3" x14ac:dyDescent="0.25">
      <c r="A26" s="2"/>
      <c r="B26" s="2"/>
      <c r="C26" s="2"/>
    </row>
    <row r="27" spans="1:3" x14ac:dyDescent="0.25">
      <c r="A27" s="5" t="s">
        <v>50</v>
      </c>
      <c r="B27" s="2"/>
      <c r="C27" s="2"/>
    </row>
    <row r="28" spans="1:3" x14ac:dyDescent="0.25">
      <c r="A28" s="2" t="s">
        <v>51</v>
      </c>
      <c r="B28" s="2" t="s">
        <v>52</v>
      </c>
      <c r="C28" s="2" t="s">
        <v>53</v>
      </c>
    </row>
    <row r="29" spans="1:3" x14ac:dyDescent="0.25">
      <c r="A29" s="2" t="s">
        <v>54</v>
      </c>
      <c r="B29" s="2" t="s">
        <v>55</v>
      </c>
      <c r="C29" s="2" t="s">
        <v>56</v>
      </c>
    </row>
    <row r="30" spans="1:3" x14ac:dyDescent="0.25">
      <c r="A30" s="2" t="s">
        <v>57</v>
      </c>
      <c r="B30" s="2" t="s">
        <v>58</v>
      </c>
      <c r="C30" s="2" t="s">
        <v>59</v>
      </c>
    </row>
    <row r="31" spans="1:3" x14ac:dyDescent="0.25">
      <c r="A31" s="2" t="s">
        <v>60</v>
      </c>
      <c r="B31" s="2" t="s">
        <v>61</v>
      </c>
      <c r="C31" s="3" t="s">
        <v>62</v>
      </c>
    </row>
    <row r="32" spans="1:3" x14ac:dyDescent="0.25">
      <c r="A32" s="2" t="s">
        <v>63</v>
      </c>
      <c r="B32" s="2" t="s">
        <v>64</v>
      </c>
      <c r="C32" s="2" t="s">
        <v>65</v>
      </c>
    </row>
    <row r="33" spans="1:3" x14ac:dyDescent="0.25">
      <c r="A33" s="2" t="s">
        <v>66</v>
      </c>
      <c r="B33" s="2" t="s">
        <v>67</v>
      </c>
      <c r="C33" s="2" t="s">
        <v>68</v>
      </c>
    </row>
    <row r="34" spans="1:3" x14ac:dyDescent="0.25">
      <c r="A34" s="2"/>
      <c r="B34" s="2"/>
      <c r="C34" s="2"/>
    </row>
    <row r="35" spans="1:3" x14ac:dyDescent="0.25">
      <c r="A35" s="5" t="s">
        <v>69</v>
      </c>
      <c r="B35" s="2"/>
      <c r="C35" s="2"/>
    </row>
    <row r="36" spans="1:3" x14ac:dyDescent="0.25">
      <c r="A36" s="2" t="s">
        <v>70</v>
      </c>
      <c r="B36" s="2" t="s">
        <v>71</v>
      </c>
      <c r="C36" s="3" t="s">
        <v>72</v>
      </c>
    </row>
    <row r="37" spans="1:3" x14ac:dyDescent="0.25">
      <c r="A37" s="2" t="s">
        <v>73</v>
      </c>
      <c r="B37" s="2" t="s">
        <v>74</v>
      </c>
      <c r="C37" s="3" t="s">
        <v>75</v>
      </c>
    </row>
    <row r="38" spans="1:3" x14ac:dyDescent="0.25">
      <c r="A38" s="2"/>
      <c r="B38" s="2"/>
      <c r="C38" s="2"/>
    </row>
    <row r="39" spans="1:3" x14ac:dyDescent="0.25">
      <c r="A39" s="5" t="s">
        <v>76</v>
      </c>
      <c r="B39" s="2"/>
      <c r="C39" s="2"/>
    </row>
    <row r="40" spans="1:3" x14ac:dyDescent="0.25">
      <c r="A40" s="2" t="s">
        <v>77</v>
      </c>
      <c r="B40" s="2" t="s">
        <v>78</v>
      </c>
      <c r="C40" s="2" t="s">
        <v>79</v>
      </c>
    </row>
    <row r="41" spans="1:3" x14ac:dyDescent="0.25">
      <c r="A41" s="2" t="s">
        <v>80</v>
      </c>
      <c r="B41" s="2" t="s">
        <v>81</v>
      </c>
      <c r="C41" s="2" t="s">
        <v>82</v>
      </c>
    </row>
    <row r="42" spans="1:3" x14ac:dyDescent="0.25">
      <c r="A42" s="2" t="s">
        <v>83</v>
      </c>
      <c r="B42" s="2" t="s">
        <v>84</v>
      </c>
      <c r="C42" s="2" t="s">
        <v>85</v>
      </c>
    </row>
    <row r="43" spans="1:3" x14ac:dyDescent="0.25">
      <c r="A43" s="2" t="s">
        <v>86</v>
      </c>
      <c r="B43" s="2" t="s">
        <v>87</v>
      </c>
      <c r="C43" s="2" t="s">
        <v>88</v>
      </c>
    </row>
    <row r="44" spans="1:3" x14ac:dyDescent="0.25">
      <c r="A44" s="2" t="s">
        <v>89</v>
      </c>
      <c r="B44" s="2" t="s">
        <v>90</v>
      </c>
      <c r="C44" s="2" t="s">
        <v>91</v>
      </c>
    </row>
    <row r="45" spans="1:3" x14ac:dyDescent="0.25">
      <c r="A45" s="2" t="s">
        <v>92</v>
      </c>
      <c r="B45" s="2" t="s">
        <v>93</v>
      </c>
      <c r="C45" s="2" t="s">
        <v>94</v>
      </c>
    </row>
    <row r="46" spans="1:3" x14ac:dyDescent="0.25">
      <c r="A46" s="2" t="s">
        <v>95</v>
      </c>
      <c r="B46" s="2" t="s">
        <v>96</v>
      </c>
      <c r="C46" s="2" t="s">
        <v>97</v>
      </c>
    </row>
    <row r="47" spans="1:3" x14ac:dyDescent="0.25">
      <c r="A47" s="2" t="s">
        <v>98</v>
      </c>
      <c r="B47" s="2" t="s">
        <v>99</v>
      </c>
      <c r="C47" s="2" t="s">
        <v>100</v>
      </c>
    </row>
    <row r="48" spans="1:3" x14ac:dyDescent="0.25">
      <c r="A48" s="2" t="s">
        <v>101</v>
      </c>
      <c r="B48" s="2" t="s">
        <v>102</v>
      </c>
      <c r="C48" s="2" t="s">
        <v>103</v>
      </c>
    </row>
    <row r="49" spans="1:3" x14ac:dyDescent="0.25">
      <c r="A49" s="2"/>
      <c r="B49" s="2"/>
      <c r="C49" s="2"/>
    </row>
    <row r="50" spans="1:3" ht="26.25" x14ac:dyDescent="0.25">
      <c r="A50" s="5" t="s">
        <v>104</v>
      </c>
      <c r="B50" s="2"/>
      <c r="C50" s="2"/>
    </row>
    <row r="51" spans="1:3" x14ac:dyDescent="0.25">
      <c r="A51" s="2" t="s">
        <v>105</v>
      </c>
      <c r="B51" s="2" t="s">
        <v>106</v>
      </c>
      <c r="C51" s="2" t="s">
        <v>107</v>
      </c>
    </row>
    <row r="52" spans="1:3" x14ac:dyDescent="0.25">
      <c r="A52" s="2" t="s">
        <v>108</v>
      </c>
      <c r="B52" s="2" t="s">
        <v>109</v>
      </c>
      <c r="C52" s="2" t="s">
        <v>110</v>
      </c>
    </row>
    <row r="53" spans="1:3" x14ac:dyDescent="0.25">
      <c r="A53" s="2" t="s">
        <v>111</v>
      </c>
      <c r="B53" s="2" t="s">
        <v>111</v>
      </c>
      <c r="C53" s="2" t="s">
        <v>112</v>
      </c>
    </row>
    <row r="54" spans="1:3" x14ac:dyDescent="0.25">
      <c r="A54" s="2"/>
      <c r="B54" s="2"/>
      <c r="C54" s="2"/>
    </row>
    <row r="55" spans="1:3" ht="26.25" x14ac:dyDescent="0.25">
      <c r="A55" s="5" t="s">
        <v>113</v>
      </c>
      <c r="B55" s="2"/>
      <c r="C55" s="2"/>
    </row>
    <row r="56" spans="1:3" x14ac:dyDescent="0.25">
      <c r="A56" s="2" t="s">
        <v>114</v>
      </c>
      <c r="B56" s="2" t="s">
        <v>115</v>
      </c>
      <c r="C56" s="2" t="s">
        <v>116</v>
      </c>
    </row>
    <row r="57" spans="1:3" x14ac:dyDescent="0.25">
      <c r="A57" s="2" t="s">
        <v>117</v>
      </c>
      <c r="B57" s="2" t="s">
        <v>118</v>
      </c>
      <c r="C57" s="2" t="s">
        <v>119</v>
      </c>
    </row>
    <row r="58" spans="1:3" x14ac:dyDescent="0.25">
      <c r="A58" s="2" t="s">
        <v>120</v>
      </c>
      <c r="B58" s="2" t="s">
        <v>121</v>
      </c>
      <c r="C58" s="2" t="s">
        <v>122</v>
      </c>
    </row>
    <row r="59" spans="1:3" x14ac:dyDescent="0.25">
      <c r="A59" s="2" t="s">
        <v>123</v>
      </c>
      <c r="B59" s="2" t="s">
        <v>124</v>
      </c>
      <c r="C59" s="2" t="s">
        <v>125</v>
      </c>
    </row>
    <row r="60" spans="1:3" x14ac:dyDescent="0.25">
      <c r="A60" s="2" t="s">
        <v>126</v>
      </c>
      <c r="B60" s="2" t="s">
        <v>127</v>
      </c>
      <c r="C60" s="2" t="s">
        <v>128</v>
      </c>
    </row>
    <row r="61" spans="1:3" x14ac:dyDescent="0.25">
      <c r="A61" s="2"/>
      <c r="B61" s="2"/>
      <c r="C61" s="2"/>
    </row>
    <row r="62" spans="1:3" x14ac:dyDescent="0.25">
      <c r="A62" s="5" t="s">
        <v>129</v>
      </c>
      <c r="B62" s="2"/>
      <c r="C62" s="2"/>
    </row>
    <row r="63" spans="1:3" x14ac:dyDescent="0.25">
      <c r="A63" s="2" t="s">
        <v>130</v>
      </c>
      <c r="B63" s="2" t="s">
        <v>131</v>
      </c>
      <c r="C63" s="2" t="s">
        <v>132</v>
      </c>
    </row>
    <row r="64" spans="1:3" x14ac:dyDescent="0.25">
      <c r="A64" s="2" t="s">
        <v>133</v>
      </c>
      <c r="B64" s="2" t="s">
        <v>134</v>
      </c>
      <c r="C64" s="2" t="s">
        <v>135</v>
      </c>
    </row>
    <row r="65" spans="1:3" x14ac:dyDescent="0.25">
      <c r="A65" s="2" t="s">
        <v>136</v>
      </c>
      <c r="B65" s="2" t="s">
        <v>137</v>
      </c>
      <c r="C65" s="2" t="s">
        <v>138</v>
      </c>
    </row>
    <row r="66" spans="1:3" x14ac:dyDescent="0.25">
      <c r="A66" s="2" t="s">
        <v>139</v>
      </c>
      <c r="B66" s="2" t="s">
        <v>140</v>
      </c>
      <c r="C66" s="2" t="s">
        <v>141</v>
      </c>
    </row>
    <row r="67" spans="1:3" x14ac:dyDescent="0.25">
      <c r="A67" s="2" t="s">
        <v>142</v>
      </c>
      <c r="B67" s="2" t="s">
        <v>143</v>
      </c>
      <c r="C67" s="2" t="s">
        <v>144</v>
      </c>
    </row>
    <row r="68" spans="1:3" x14ac:dyDescent="0.25">
      <c r="A68" s="2" t="s">
        <v>145</v>
      </c>
      <c r="B68" s="2" t="s">
        <v>145</v>
      </c>
      <c r="C68" s="2" t="s">
        <v>146</v>
      </c>
    </row>
    <row r="69" spans="1:3" x14ac:dyDescent="0.25">
      <c r="A69" s="2"/>
      <c r="B69" s="2"/>
      <c r="C69" s="2"/>
    </row>
    <row r="70" spans="1:3" x14ac:dyDescent="0.25">
      <c r="A70" s="5" t="s">
        <v>147</v>
      </c>
      <c r="B70" s="2"/>
      <c r="C70" s="2"/>
    </row>
    <row r="71" spans="1:3" x14ac:dyDescent="0.25">
      <c r="A71" s="2" t="s">
        <v>148</v>
      </c>
      <c r="B71" s="2" t="s">
        <v>149</v>
      </c>
      <c r="C71" s="2" t="s">
        <v>150</v>
      </c>
    </row>
    <row r="72" spans="1:3" ht="30" x14ac:dyDescent="0.25">
      <c r="A72" s="2" t="s">
        <v>151</v>
      </c>
      <c r="B72" s="2" t="s">
        <v>152</v>
      </c>
      <c r="C72" s="2" t="s">
        <v>153</v>
      </c>
    </row>
    <row r="73" spans="1:3" x14ac:dyDescent="0.25">
      <c r="A73" s="2" t="s">
        <v>154</v>
      </c>
      <c r="B73" s="2" t="s">
        <v>154</v>
      </c>
      <c r="C73" s="2" t="s">
        <v>155</v>
      </c>
    </row>
    <row r="74" spans="1:3" x14ac:dyDescent="0.25">
      <c r="A74" s="2" t="s">
        <v>156</v>
      </c>
      <c r="B74" s="2" t="s">
        <v>157</v>
      </c>
      <c r="C74" s="2" t="s">
        <v>158</v>
      </c>
    </row>
    <row r="75" spans="1:3" x14ac:dyDescent="0.25">
      <c r="A75" s="2" t="s">
        <v>159</v>
      </c>
      <c r="B75" s="2" t="s">
        <v>160</v>
      </c>
      <c r="C75" s="2" t="s">
        <v>161</v>
      </c>
    </row>
    <row r="76" spans="1:3" x14ac:dyDescent="0.25">
      <c r="A76" s="2" t="s">
        <v>162</v>
      </c>
      <c r="B76" s="2" t="s">
        <v>163</v>
      </c>
      <c r="C76" s="2" t="s">
        <v>164</v>
      </c>
    </row>
    <row r="77" spans="1:3" x14ac:dyDescent="0.25">
      <c r="A77" s="2" t="s">
        <v>165</v>
      </c>
      <c r="B77" s="2" t="s">
        <v>166</v>
      </c>
      <c r="C77" s="2" t="s">
        <v>167</v>
      </c>
    </row>
    <row r="78" spans="1:3" x14ac:dyDescent="0.25">
      <c r="A78" s="2" t="s">
        <v>168</v>
      </c>
      <c r="B78" s="2" t="s">
        <v>169</v>
      </c>
      <c r="C78" s="2" t="s">
        <v>170</v>
      </c>
    </row>
    <row r="79" spans="1:3" x14ac:dyDescent="0.25">
      <c r="A79" s="2"/>
      <c r="B79" s="2"/>
      <c r="C79" s="2"/>
    </row>
    <row r="80" spans="1:3" x14ac:dyDescent="0.25">
      <c r="A80" s="5" t="s">
        <v>171</v>
      </c>
      <c r="B80" s="2"/>
      <c r="C80" s="2"/>
    </row>
    <row r="81" spans="1:3" x14ac:dyDescent="0.25">
      <c r="A81" s="2" t="s">
        <v>172</v>
      </c>
      <c r="B81" s="2" t="s">
        <v>173</v>
      </c>
      <c r="C81" s="2" t="s">
        <v>174</v>
      </c>
    </row>
    <row r="82" spans="1:3" x14ac:dyDescent="0.25">
      <c r="A82" s="2" t="s">
        <v>175</v>
      </c>
      <c r="B82" s="2" t="s">
        <v>176</v>
      </c>
      <c r="C82" s="2" t="s">
        <v>177</v>
      </c>
    </row>
    <row r="83" spans="1:3" x14ac:dyDescent="0.25">
      <c r="A83" s="2" t="s">
        <v>178</v>
      </c>
      <c r="B83" s="2" t="s">
        <v>179</v>
      </c>
      <c r="C83" s="2" t="s">
        <v>180</v>
      </c>
    </row>
    <row r="84" spans="1:3" x14ac:dyDescent="0.25">
      <c r="A84" s="2" t="s">
        <v>181</v>
      </c>
      <c r="B84" s="2" t="s">
        <v>182</v>
      </c>
      <c r="C84" s="2" t="s">
        <v>183</v>
      </c>
    </row>
    <row r="85" spans="1:3" x14ac:dyDescent="0.25">
      <c r="A85" s="2" t="s">
        <v>184</v>
      </c>
      <c r="B85" s="2" t="s">
        <v>185</v>
      </c>
      <c r="C85" s="2" t="s">
        <v>186</v>
      </c>
    </row>
    <row r="86" spans="1:3" x14ac:dyDescent="0.25">
      <c r="A86" s="2" t="s">
        <v>187</v>
      </c>
      <c r="B86" s="2" t="s">
        <v>188</v>
      </c>
      <c r="C86" s="2" t="s">
        <v>189</v>
      </c>
    </row>
    <row r="87" spans="1:3" x14ac:dyDescent="0.25">
      <c r="A87" s="2" t="s">
        <v>190</v>
      </c>
      <c r="B87" s="2" t="s">
        <v>191</v>
      </c>
      <c r="C87" s="2" t="s">
        <v>192</v>
      </c>
    </row>
    <row r="88" spans="1:3" x14ac:dyDescent="0.25">
      <c r="A88" s="2" t="s">
        <v>193</v>
      </c>
      <c r="B88" s="2" t="s">
        <v>194</v>
      </c>
      <c r="C88" s="2" t="s">
        <v>195</v>
      </c>
    </row>
    <row r="89" spans="1:3" x14ac:dyDescent="0.25">
      <c r="A89" s="2" t="s">
        <v>196</v>
      </c>
      <c r="B89" s="2" t="s">
        <v>197</v>
      </c>
      <c r="C89" s="2" t="s">
        <v>198</v>
      </c>
    </row>
    <row r="90" spans="1:3" x14ac:dyDescent="0.25">
      <c r="A90" s="2" t="s">
        <v>199</v>
      </c>
      <c r="B90" s="2" t="s">
        <v>200</v>
      </c>
      <c r="C90" s="2" t="s">
        <v>201</v>
      </c>
    </row>
    <row r="91" spans="1:3" x14ac:dyDescent="0.25">
      <c r="A91" s="2" t="s">
        <v>202</v>
      </c>
      <c r="B91" s="2" t="s">
        <v>203</v>
      </c>
      <c r="C91" s="2" t="s">
        <v>204</v>
      </c>
    </row>
    <row r="92" spans="1:3" x14ac:dyDescent="0.25">
      <c r="A92" s="2" t="s">
        <v>205</v>
      </c>
      <c r="B92" s="2" t="s">
        <v>206</v>
      </c>
      <c r="C92" s="2" t="s">
        <v>207</v>
      </c>
    </row>
    <row r="93" spans="1:3" x14ac:dyDescent="0.25">
      <c r="A93" s="2" t="s">
        <v>130</v>
      </c>
      <c r="B93" s="2" t="s">
        <v>131</v>
      </c>
      <c r="C93" s="2" t="s">
        <v>132</v>
      </c>
    </row>
    <row r="94" spans="1:3" x14ac:dyDescent="0.25">
      <c r="A94" s="2" t="s">
        <v>133</v>
      </c>
      <c r="B94" s="2" t="s">
        <v>134</v>
      </c>
      <c r="C94" s="2" t="s">
        <v>135</v>
      </c>
    </row>
    <row r="95" spans="1:3" x14ac:dyDescent="0.25">
      <c r="A95" s="2" t="s">
        <v>136</v>
      </c>
      <c r="B95" s="2" t="s">
        <v>137</v>
      </c>
      <c r="C95" s="2" t="s">
        <v>138</v>
      </c>
    </row>
    <row r="96" spans="1:3" x14ac:dyDescent="0.25">
      <c r="A96" s="2" t="s">
        <v>139</v>
      </c>
      <c r="B96" s="2" t="s">
        <v>140</v>
      </c>
      <c r="C96" s="2" t="s">
        <v>141</v>
      </c>
    </row>
    <row r="97" spans="1:3" x14ac:dyDescent="0.25">
      <c r="A97" s="2" t="s">
        <v>142</v>
      </c>
      <c r="B97" s="2" t="s">
        <v>143</v>
      </c>
      <c r="C97" s="2" t="s">
        <v>144</v>
      </c>
    </row>
  </sheetData>
  <pageMargins left="0.7" right="0.7" top="0.75" bottom="0.75" header="0.3" footer="0.3"/>
  <headerFooter>
    <oddHeader>&amp;C&amp;"Aptos"&amp;12&amp;K000000 OFFICIAL&amp;1#_x000D_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3EB3D-EEC2-4C92-821C-7945A7BF0953}">
  <dimension ref="A1:BE49"/>
  <sheetViews>
    <sheetView workbookViewId="0"/>
  </sheetViews>
  <sheetFormatPr defaultColWidth="9.28515625" defaultRowHeight="15" x14ac:dyDescent="0.25"/>
  <cols>
    <col min="1" max="1" width="131.85546875" bestFit="1" customWidth="1"/>
    <col min="2" max="2" width="24.42578125" style="73" bestFit="1" customWidth="1"/>
    <col min="3" max="3" width="34.5703125" style="73" bestFit="1" customWidth="1"/>
    <col min="4" max="4" width="29.140625" style="73" bestFit="1" customWidth="1"/>
    <col min="5" max="5" width="13.85546875" style="73" bestFit="1" customWidth="1"/>
    <col min="6" max="6" width="9.140625" style="73" bestFit="1" customWidth="1"/>
    <col min="7" max="7" width="10.5703125" style="73" bestFit="1" customWidth="1"/>
    <col min="8" max="8" width="13.140625" style="73" bestFit="1" customWidth="1"/>
    <col min="9" max="10" width="9.5703125" style="73" customWidth="1"/>
  </cols>
  <sheetData>
    <row r="1" spans="1:57" s="86" customFormat="1" x14ac:dyDescent="0.25">
      <c r="A1" s="59" t="s">
        <v>418</v>
      </c>
      <c r="B1" s="85"/>
      <c r="C1" s="85"/>
      <c r="D1" s="85"/>
      <c r="E1" s="85"/>
      <c r="F1" s="85"/>
      <c r="G1" s="85"/>
      <c r="H1" s="85"/>
      <c r="I1" s="85"/>
      <c r="J1" s="85"/>
    </row>
    <row r="2" spans="1:57" x14ac:dyDescent="0.25">
      <c r="A2" s="104"/>
      <c r="B2" s="105"/>
      <c r="C2" s="105"/>
      <c r="D2" s="105"/>
      <c r="E2" s="105"/>
      <c r="F2" s="105"/>
      <c r="G2" s="105"/>
      <c r="H2" s="105"/>
      <c r="I2" s="105"/>
      <c r="J2" s="105"/>
    </row>
    <row r="3" spans="1:57" s="75" customFormat="1" x14ac:dyDescent="0.25">
      <c r="A3" s="74" t="s">
        <v>418</v>
      </c>
      <c r="B3" s="74" t="s">
        <v>208</v>
      </c>
      <c r="C3" s="74" t="s">
        <v>419</v>
      </c>
      <c r="D3" s="74" t="s">
        <v>420</v>
      </c>
      <c r="E3" s="74" t="s">
        <v>421</v>
      </c>
      <c r="F3" s="74" t="s">
        <v>422</v>
      </c>
      <c r="G3" s="74" t="s">
        <v>423</v>
      </c>
      <c r="H3" s="74" t="s">
        <v>424</v>
      </c>
      <c r="I3" s="127"/>
      <c r="J3" s="127"/>
    </row>
    <row r="4" spans="1:57" x14ac:dyDescent="0.25">
      <c r="A4" s="14" t="s">
        <v>213</v>
      </c>
      <c r="B4" s="87" t="s">
        <v>18</v>
      </c>
      <c r="C4" s="87" t="s">
        <v>18</v>
      </c>
      <c r="D4" s="16" t="s">
        <v>18</v>
      </c>
      <c r="E4" s="16" t="s">
        <v>12</v>
      </c>
      <c r="F4" s="16" t="s">
        <v>6</v>
      </c>
      <c r="G4" s="16" t="s">
        <v>9</v>
      </c>
      <c r="H4" s="16" t="s">
        <v>9</v>
      </c>
      <c r="I4" s="111"/>
      <c r="J4" s="111"/>
    </row>
    <row r="5" spans="1:57" x14ac:dyDescent="0.25">
      <c r="A5" s="17" t="s">
        <v>214</v>
      </c>
      <c r="B5" s="87" t="s">
        <v>18</v>
      </c>
      <c r="C5" s="87" t="s">
        <v>18</v>
      </c>
      <c r="D5" s="18" t="s">
        <v>18</v>
      </c>
      <c r="E5" s="18">
        <v>140.834</v>
      </c>
      <c r="F5" s="18">
        <v>142.989</v>
      </c>
      <c r="G5" s="18">
        <v>146.94499999999999</v>
      </c>
      <c r="H5" s="18">
        <v>147.26</v>
      </c>
      <c r="I5" s="112"/>
      <c r="J5" s="112"/>
    </row>
    <row r="6" spans="1:57" s="11" customFormat="1" x14ac:dyDescent="0.25">
      <c r="A6" s="17" t="s">
        <v>372</v>
      </c>
      <c r="B6" s="64"/>
      <c r="C6" s="64"/>
      <c r="D6" s="64"/>
      <c r="E6" s="64"/>
      <c r="F6" s="64"/>
      <c r="G6" s="64"/>
      <c r="H6" s="64"/>
      <c r="I6" s="113"/>
      <c r="J6" s="113"/>
    </row>
    <row r="7" spans="1:57" s="31" customFormat="1" x14ac:dyDescent="0.25">
      <c r="A7" s="26" t="s">
        <v>425</v>
      </c>
      <c r="B7" s="27">
        <v>100</v>
      </c>
      <c r="C7" s="27">
        <v>105.3008</v>
      </c>
      <c r="D7" s="27">
        <v>103.32600427052922</v>
      </c>
      <c r="E7" s="27">
        <v>98.865483422983715</v>
      </c>
      <c r="F7" s="27">
        <v>103.091976403339</v>
      </c>
      <c r="G7" s="27">
        <v>103.73831531338713</v>
      </c>
      <c r="H7" s="27">
        <v>103.14772109486154</v>
      </c>
      <c r="I7" s="114"/>
      <c r="J7" s="114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</row>
    <row r="8" spans="1:57" s="31" customFormat="1" x14ac:dyDescent="0.25">
      <c r="A8" s="26" t="s">
        <v>426</v>
      </c>
      <c r="B8" s="27">
        <v>100</v>
      </c>
      <c r="C8" s="27">
        <v>94.820220000000006</v>
      </c>
      <c r="D8" s="27">
        <v>95.63528989644557</v>
      </c>
      <c r="E8" s="27">
        <v>96.399309521161612</v>
      </c>
      <c r="F8" s="27">
        <v>98.659675840946093</v>
      </c>
      <c r="G8" s="27">
        <v>93.21047075097664</v>
      </c>
      <c r="H8" s="27">
        <v>95.035723097414021</v>
      </c>
      <c r="I8" s="114"/>
      <c r="J8" s="114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</row>
    <row r="9" spans="1:57" s="31" customFormat="1" x14ac:dyDescent="0.25">
      <c r="A9" s="26" t="s">
        <v>427</v>
      </c>
      <c r="B9" s="27">
        <v>100</v>
      </c>
      <c r="C9" s="27">
        <v>97.018649999999994</v>
      </c>
      <c r="D9" s="27">
        <v>90.386543230478992</v>
      </c>
      <c r="E9" s="27">
        <v>97.04178615034111</v>
      </c>
      <c r="F9" s="27">
        <v>96.935303719386354</v>
      </c>
      <c r="G9" s="27">
        <v>89.217612941469952</v>
      </c>
      <c r="H9" s="27">
        <v>85.006713030580698</v>
      </c>
      <c r="I9" s="114"/>
      <c r="J9" s="114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  <row r="10" spans="1:57" s="31" customFormat="1" x14ac:dyDescent="0.25">
      <c r="A10" s="26" t="s">
        <v>428</v>
      </c>
      <c r="B10" s="27">
        <v>100</v>
      </c>
      <c r="C10" s="79">
        <v>99.042437631578935</v>
      </c>
      <c r="D10" s="79">
        <v>96.501900266535472</v>
      </c>
      <c r="E10" s="27">
        <v>97.638159395122415</v>
      </c>
      <c r="F10" s="27">
        <v>99.720182056709774</v>
      </c>
      <c r="G10" s="27">
        <v>95.388799668611242</v>
      </c>
      <c r="H10" s="27">
        <v>94.396719074285414</v>
      </c>
      <c r="I10" s="115"/>
      <c r="J10" s="115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</row>
    <row r="11" spans="1:57" s="31" customFormat="1" x14ac:dyDescent="0.25">
      <c r="A11" s="28" t="s">
        <v>429</v>
      </c>
      <c r="B11" s="27">
        <v>100</v>
      </c>
      <c r="C11" s="27">
        <v>98.840469999999996</v>
      </c>
      <c r="D11" s="27">
        <v>101.78126060287977</v>
      </c>
      <c r="E11" s="27">
        <v>92.55801799455746</v>
      </c>
      <c r="F11" s="27">
        <v>100.7290064236719</v>
      </c>
      <c r="G11" s="27">
        <v>101.73604936927016</v>
      </c>
      <c r="H11" s="27">
        <v>102.87872601569725</v>
      </c>
      <c r="I11" s="114"/>
      <c r="J11" s="114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</row>
    <row r="12" spans="1:57" s="90" customFormat="1" x14ac:dyDescent="0.25">
      <c r="A12" s="14" t="s">
        <v>378</v>
      </c>
      <c r="B12" s="64"/>
      <c r="C12" s="64"/>
      <c r="D12" s="64"/>
      <c r="E12" s="64"/>
      <c r="F12" s="64"/>
      <c r="G12" s="64"/>
      <c r="H12" s="64"/>
      <c r="I12" s="113"/>
      <c r="J12" s="113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</row>
    <row r="13" spans="1:57" s="31" customFormat="1" x14ac:dyDescent="0.25">
      <c r="A13" s="26" t="s">
        <v>430</v>
      </c>
      <c r="B13" s="20">
        <v>100</v>
      </c>
      <c r="C13" s="27"/>
      <c r="D13" s="27">
        <v>106.84486267347297</v>
      </c>
      <c r="E13" s="27">
        <v>117.52777310143675</v>
      </c>
      <c r="F13" s="27">
        <v>111.91359747529664</v>
      </c>
      <c r="G13" s="27">
        <v>108.37355594977981</v>
      </c>
      <c r="H13" s="27">
        <v>100.24743459534244</v>
      </c>
      <c r="I13" s="114"/>
      <c r="J13" s="114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</row>
    <row r="14" spans="1:57" s="31" customFormat="1" x14ac:dyDescent="0.25">
      <c r="A14" s="21" t="s">
        <v>431</v>
      </c>
      <c r="B14" s="27">
        <v>100</v>
      </c>
      <c r="C14" s="27"/>
      <c r="D14" s="27">
        <v>96.78243246748022</v>
      </c>
      <c r="E14" s="27">
        <v>94.576879775050216</v>
      </c>
      <c r="F14" s="27">
        <v>97.057048321073864</v>
      </c>
      <c r="G14" s="27">
        <v>95.084970703993605</v>
      </c>
      <c r="H14" s="27">
        <v>98.205278377373233</v>
      </c>
      <c r="I14" s="114"/>
      <c r="J14" s="114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</row>
    <row r="15" spans="1:57" s="95" customFormat="1" x14ac:dyDescent="0.25">
      <c r="A15" s="94" t="s">
        <v>381</v>
      </c>
      <c r="B15" s="91">
        <v>72.33</v>
      </c>
      <c r="C15" s="91"/>
      <c r="D15" s="91">
        <v>72.482128237814706</v>
      </c>
      <c r="E15" s="91">
        <v>69.101858387487439</v>
      </c>
      <c r="F15" s="91">
        <v>71.86964285727781</v>
      </c>
      <c r="G15" s="91">
        <v>72.894377952480184</v>
      </c>
      <c r="H15" s="91">
        <v>72.682363903686095</v>
      </c>
      <c r="I15" s="116"/>
      <c r="J15" s="116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</row>
    <row r="16" spans="1:57" s="31" customFormat="1" x14ac:dyDescent="0.25">
      <c r="A16" s="21" t="s">
        <v>432</v>
      </c>
      <c r="B16" s="27">
        <v>100</v>
      </c>
      <c r="C16" s="27"/>
      <c r="D16" s="27">
        <v>115.57011435791334</v>
      </c>
      <c r="E16" s="27">
        <v>100.73623941675257</v>
      </c>
      <c r="F16" s="27">
        <v>114.32337088946957</v>
      </c>
      <c r="G16" s="27">
        <v>116.70969111987208</v>
      </c>
      <c r="H16" s="27">
        <v>115.67728106439837</v>
      </c>
      <c r="I16" s="114"/>
      <c r="J16" s="114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</row>
    <row r="17" spans="1:57" s="95" customFormat="1" x14ac:dyDescent="0.25">
      <c r="A17" s="24" t="s">
        <v>433</v>
      </c>
      <c r="B17" s="91">
        <v>69.369084876439402</v>
      </c>
      <c r="C17" s="91"/>
      <c r="D17" s="91">
        <v>65.824945507392002</v>
      </c>
      <c r="E17" s="91">
        <v>65.722316874586596</v>
      </c>
      <c r="F17" s="91">
        <v>65.562444514830801</v>
      </c>
      <c r="G17" s="91">
        <v>66.278278895390187</v>
      </c>
      <c r="H17" s="91">
        <v>65.634113111954932</v>
      </c>
      <c r="I17" s="116"/>
      <c r="J17" s="116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</row>
    <row r="18" spans="1:57" s="31" customFormat="1" x14ac:dyDescent="0.25">
      <c r="A18" s="21" t="s">
        <v>434</v>
      </c>
      <c r="B18" s="27">
        <v>100</v>
      </c>
      <c r="C18" s="27"/>
      <c r="D18" s="27">
        <v>101.73826168324585</v>
      </c>
      <c r="E18" s="27">
        <v>96.927340631377163</v>
      </c>
      <c r="F18" s="27">
        <v>100.03443579987986</v>
      </c>
      <c r="G18" s="27">
        <v>103.82128878308394</v>
      </c>
      <c r="H18" s="27">
        <v>101.3590604667738</v>
      </c>
      <c r="I18" s="114"/>
      <c r="J18" s="114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</row>
    <row r="19" spans="1:57" s="117" customFormat="1" x14ac:dyDescent="0.25">
      <c r="A19" s="19" t="s">
        <v>239</v>
      </c>
      <c r="B19" s="64"/>
      <c r="C19" s="64"/>
      <c r="D19" s="64"/>
      <c r="E19" s="64"/>
      <c r="F19" s="64"/>
      <c r="G19" s="64"/>
      <c r="H19" s="64"/>
      <c r="I19" s="113"/>
      <c r="J19" s="113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</row>
    <row r="20" spans="1:57" s="31" customFormat="1" x14ac:dyDescent="0.25">
      <c r="A20" s="21" t="s">
        <v>386</v>
      </c>
      <c r="B20" s="27">
        <v>62.5759434798128</v>
      </c>
      <c r="C20" s="27"/>
      <c r="D20" s="27">
        <v>57.119071768862511</v>
      </c>
      <c r="E20" s="27">
        <v>56.122795572341971</v>
      </c>
      <c r="F20" s="27">
        <v>58.908799979684247</v>
      </c>
      <c r="G20" s="27">
        <v>54.632055536114912</v>
      </c>
      <c r="H20" s="27">
        <v>57.816359790788361</v>
      </c>
      <c r="I20" s="114"/>
      <c r="J20" s="114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</row>
    <row r="21" spans="1:57" s="31" customFormat="1" x14ac:dyDescent="0.25">
      <c r="A21" s="21" t="s">
        <v>435</v>
      </c>
      <c r="B21" s="27">
        <v>56.269460360823373</v>
      </c>
      <c r="C21" s="27"/>
      <c r="D21" s="27">
        <v>42.115425936120232</v>
      </c>
      <c r="E21" s="27">
        <v>46.452621291931443</v>
      </c>
      <c r="F21" s="27">
        <v>43.786152906101407</v>
      </c>
      <c r="G21" s="27">
        <v>43.237953386456617</v>
      </c>
      <c r="H21" s="27">
        <v>39.322171515802673</v>
      </c>
      <c r="I21" s="114"/>
      <c r="J21" s="114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</row>
    <row r="22" spans="1:57" s="31" customFormat="1" x14ac:dyDescent="0.25">
      <c r="A22" s="26" t="s">
        <v>436</v>
      </c>
      <c r="B22" s="27">
        <v>100</v>
      </c>
      <c r="C22" s="27"/>
      <c r="D22" s="27">
        <v>89.59522245943505</v>
      </c>
      <c r="E22" s="27" t="s">
        <v>437</v>
      </c>
      <c r="F22" s="27">
        <v>96.232775725961844</v>
      </c>
      <c r="G22" s="27">
        <v>89.658381415297541</v>
      </c>
      <c r="H22" s="27">
        <v>82.894510237045807</v>
      </c>
      <c r="I22" s="114"/>
      <c r="J22" s="114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</row>
    <row r="23" spans="1:57" s="97" customFormat="1" x14ac:dyDescent="0.25">
      <c r="A23" s="39" t="s">
        <v>240</v>
      </c>
      <c r="B23" s="91">
        <v>7.400576607730323</v>
      </c>
      <c r="C23" s="91"/>
      <c r="D23" s="91">
        <v>7.4684906729522194</v>
      </c>
      <c r="E23" s="91">
        <v>7.614218882278708</v>
      </c>
      <c r="F23" s="91">
        <v>7.5266990718277889</v>
      </c>
      <c r="G23" s="91">
        <v>7.322095386274726</v>
      </c>
      <c r="H23" s="91">
        <v>7.556677560754145</v>
      </c>
      <c r="I23" s="116"/>
      <c r="J23" s="116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</row>
    <row r="24" spans="1:57" s="98" customFormat="1" ht="12.75" x14ac:dyDescent="0.25">
      <c r="A24" s="14" t="s">
        <v>241</v>
      </c>
      <c r="B24" s="64"/>
      <c r="C24" s="64"/>
      <c r="D24" s="91"/>
      <c r="E24" s="91"/>
      <c r="F24" s="91"/>
      <c r="G24" s="91"/>
      <c r="H24" s="91"/>
      <c r="I24" s="116"/>
      <c r="J24" s="116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</row>
    <row r="25" spans="1:57" s="100" customFormat="1" ht="12.75" x14ac:dyDescent="0.25">
      <c r="A25" s="96" t="s">
        <v>242</v>
      </c>
      <c r="B25" s="40">
        <v>6.7666666666666684</v>
      </c>
      <c r="C25" s="40"/>
      <c r="D25" s="91">
        <v>6.9666666666666659</v>
      </c>
      <c r="E25" s="40">
        <v>8.3000000000000007</v>
      </c>
      <c r="F25" s="91">
        <v>7.1</v>
      </c>
      <c r="G25" s="118">
        <v>6.1</v>
      </c>
      <c r="H25" s="40">
        <v>7.7</v>
      </c>
      <c r="I25" s="116"/>
      <c r="J25" s="116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</row>
    <row r="26" spans="1:57" s="100" customFormat="1" ht="12.75" x14ac:dyDescent="0.25">
      <c r="A26" s="96" t="s">
        <v>243</v>
      </c>
      <c r="B26" s="40">
        <v>5.1499999999999995</v>
      </c>
      <c r="C26" s="40"/>
      <c r="D26" s="91">
        <v>5.1000000000000005</v>
      </c>
      <c r="E26" s="40">
        <v>4.5999999999999996</v>
      </c>
      <c r="F26" s="40">
        <v>5.3</v>
      </c>
      <c r="G26" s="119">
        <v>5</v>
      </c>
      <c r="H26" s="40">
        <v>5</v>
      </c>
      <c r="I26" s="116"/>
      <c r="J26" s="116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</row>
    <row r="27" spans="1:57" s="100" customFormat="1" ht="12.75" x14ac:dyDescent="0.25">
      <c r="A27" s="96" t="s">
        <v>244</v>
      </c>
      <c r="B27" s="40">
        <v>6.916666666666667</v>
      </c>
      <c r="C27" s="40"/>
      <c r="D27" s="91">
        <v>5.6000000000000005</v>
      </c>
      <c r="E27" s="40">
        <v>6.1</v>
      </c>
      <c r="F27" s="40">
        <v>4.2</v>
      </c>
      <c r="G27" s="119">
        <v>7.3</v>
      </c>
      <c r="H27" s="40">
        <v>5.3</v>
      </c>
      <c r="I27" s="116"/>
      <c r="J27" s="116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</row>
    <row r="28" spans="1:57" s="101" customFormat="1" ht="12.75" x14ac:dyDescent="0.25">
      <c r="A28" s="96" t="s">
        <v>392</v>
      </c>
      <c r="B28" s="40">
        <v>6.083333333333333</v>
      </c>
      <c r="C28" s="40"/>
      <c r="D28" s="91">
        <v>5.8999999999999995</v>
      </c>
      <c r="E28" s="40" t="s">
        <v>393</v>
      </c>
      <c r="F28" s="40">
        <v>5.8</v>
      </c>
      <c r="G28" s="119">
        <v>4.9000000000000004</v>
      </c>
      <c r="H28" s="40">
        <v>7</v>
      </c>
      <c r="I28" s="116"/>
      <c r="J28" s="116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</row>
    <row r="29" spans="1:57" s="100" customFormat="1" ht="12.75" x14ac:dyDescent="0.25">
      <c r="A29" s="96" t="s">
        <v>395</v>
      </c>
      <c r="B29" s="40">
        <v>6.4416666666666664</v>
      </c>
      <c r="C29" s="40"/>
      <c r="D29" s="40">
        <v>4.7333333333333334</v>
      </c>
      <c r="E29" s="40" t="s">
        <v>18</v>
      </c>
      <c r="F29" s="40">
        <v>3.85</v>
      </c>
      <c r="G29" s="119">
        <v>3.65</v>
      </c>
      <c r="H29" s="40" t="s">
        <v>438</v>
      </c>
      <c r="I29" s="120"/>
      <c r="J29" s="120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</row>
    <row r="30" spans="1:57" s="92" customFormat="1" ht="12.75" x14ac:dyDescent="0.25">
      <c r="A30" s="38" t="s">
        <v>245</v>
      </c>
      <c r="B30" s="40"/>
      <c r="C30" s="40"/>
      <c r="D30" s="40"/>
      <c r="E30" s="40"/>
      <c r="F30" s="40"/>
      <c r="G30" s="119"/>
      <c r="H30" s="40"/>
      <c r="I30" s="120"/>
      <c r="J30" s="120"/>
    </row>
    <row r="31" spans="1:57" s="33" customFormat="1" x14ac:dyDescent="0.25">
      <c r="A31" s="96" t="s">
        <v>246</v>
      </c>
      <c r="B31" s="42" t="s">
        <v>18</v>
      </c>
      <c r="C31" s="42" t="s">
        <v>18</v>
      </c>
      <c r="D31" s="42" t="s">
        <v>18</v>
      </c>
      <c r="E31" s="42">
        <v>2023</v>
      </c>
      <c r="F31" s="64">
        <v>2005</v>
      </c>
      <c r="G31" s="42">
        <v>1998</v>
      </c>
      <c r="H31" s="64">
        <v>2017</v>
      </c>
      <c r="I31" s="121"/>
      <c r="J31" s="12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</row>
    <row r="32" spans="1:57" s="33" customFormat="1" x14ac:dyDescent="0.25">
      <c r="A32" s="39" t="s">
        <v>247</v>
      </c>
      <c r="B32" s="42" t="s">
        <v>18</v>
      </c>
      <c r="C32" s="42"/>
      <c r="D32" s="16" t="s">
        <v>18</v>
      </c>
      <c r="E32" s="122" t="s">
        <v>249</v>
      </c>
      <c r="F32" s="122" t="s">
        <v>439</v>
      </c>
      <c r="G32" s="122" t="s">
        <v>249</v>
      </c>
      <c r="H32" s="122" t="s">
        <v>249</v>
      </c>
      <c r="I32" s="111"/>
      <c r="J32" s="1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</row>
    <row r="33" spans="1:57" s="33" customFormat="1" x14ac:dyDescent="0.25">
      <c r="A33" s="39" t="s">
        <v>248</v>
      </c>
      <c r="B33" s="42" t="s">
        <v>18</v>
      </c>
      <c r="C33" s="42"/>
      <c r="D33" s="18" t="s">
        <v>18</v>
      </c>
      <c r="E33" s="122" t="s">
        <v>249</v>
      </c>
      <c r="F33" s="122" t="s">
        <v>267</v>
      </c>
      <c r="G33" s="122" t="s">
        <v>249</v>
      </c>
      <c r="H33" s="122" t="s">
        <v>249</v>
      </c>
      <c r="I33" s="112"/>
      <c r="J33" s="112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</row>
    <row r="34" spans="1:57" s="33" customFormat="1" x14ac:dyDescent="0.25">
      <c r="A34" s="19" t="s">
        <v>250</v>
      </c>
      <c r="B34" s="42"/>
      <c r="C34" s="27"/>
      <c r="D34" s="18"/>
      <c r="E34" s="18"/>
      <c r="F34" s="18"/>
      <c r="G34" s="18"/>
      <c r="H34" s="18"/>
      <c r="I34" s="112"/>
      <c r="J34" s="112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</row>
    <row r="35" spans="1:57" s="90" customFormat="1" x14ac:dyDescent="0.25">
      <c r="A35" s="39" t="s">
        <v>397</v>
      </c>
      <c r="B35" s="42" t="s">
        <v>18</v>
      </c>
      <c r="C35" s="42" t="s">
        <v>18</v>
      </c>
      <c r="D35" s="42" t="s">
        <v>18</v>
      </c>
      <c r="E35" s="64">
        <v>2</v>
      </c>
      <c r="F35" s="64">
        <v>11</v>
      </c>
      <c r="G35" s="64">
        <v>5</v>
      </c>
      <c r="H35" s="64">
        <v>6</v>
      </c>
      <c r="I35" s="121"/>
      <c r="J35" s="12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</row>
    <row r="36" spans="1:57" s="31" customFormat="1" x14ac:dyDescent="0.25">
      <c r="A36" s="39" t="s">
        <v>251</v>
      </c>
      <c r="B36" s="42" t="s">
        <v>18</v>
      </c>
      <c r="C36" s="42" t="s">
        <v>18</v>
      </c>
      <c r="D36" s="42" t="s">
        <v>18</v>
      </c>
      <c r="E36" s="64">
        <v>12</v>
      </c>
      <c r="F36" s="64">
        <v>28</v>
      </c>
      <c r="G36" s="64">
        <v>10</v>
      </c>
      <c r="H36" s="64">
        <v>11</v>
      </c>
      <c r="I36" s="121"/>
      <c r="J36" s="12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</row>
    <row r="37" spans="1:57" s="31" customFormat="1" x14ac:dyDescent="0.25">
      <c r="A37" s="39" t="s">
        <v>252</v>
      </c>
      <c r="B37" s="42" t="s">
        <v>18</v>
      </c>
      <c r="C37" s="42" t="s">
        <v>18</v>
      </c>
      <c r="D37" s="42" t="s">
        <v>18</v>
      </c>
      <c r="E37" s="42">
        <v>9</v>
      </c>
      <c r="F37" s="42">
        <v>26</v>
      </c>
      <c r="G37" s="42">
        <v>10</v>
      </c>
      <c r="H37" s="42">
        <v>11</v>
      </c>
      <c r="I37" s="121"/>
      <c r="J37" s="12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</row>
    <row r="38" spans="1:57" s="31" customFormat="1" x14ac:dyDescent="0.25">
      <c r="A38" s="39" t="s">
        <v>253</v>
      </c>
      <c r="B38" s="42" t="s">
        <v>18</v>
      </c>
      <c r="C38" s="42" t="s">
        <v>18</v>
      </c>
      <c r="D38" s="42" t="s">
        <v>18</v>
      </c>
      <c r="E38" s="64">
        <v>6</v>
      </c>
      <c r="F38" s="64">
        <v>24</v>
      </c>
      <c r="G38" s="64">
        <v>10</v>
      </c>
      <c r="H38" s="64">
        <v>11</v>
      </c>
      <c r="I38" s="121"/>
      <c r="J38" s="12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</row>
    <row r="39" spans="1:57" x14ac:dyDescent="0.25">
      <c r="A39" s="56" t="s">
        <v>440</v>
      </c>
      <c r="B39" s="67"/>
      <c r="C39" s="67"/>
      <c r="D39" s="102"/>
      <c r="E39" s="102"/>
      <c r="F39" s="102"/>
      <c r="G39" s="102"/>
      <c r="H39" s="102"/>
      <c r="I39" s="123"/>
      <c r="J39" s="123"/>
    </row>
    <row r="40" spans="1:57" x14ac:dyDescent="0.25">
      <c r="A40" s="56" t="s">
        <v>441</v>
      </c>
      <c r="B40" s="67"/>
      <c r="C40" s="67"/>
      <c r="D40" s="70"/>
      <c r="E40" s="70"/>
      <c r="F40" s="70"/>
      <c r="G40" s="70"/>
      <c r="H40" s="70"/>
    </row>
    <row r="41" spans="1:57" x14ac:dyDescent="0.25">
      <c r="A41" s="56" t="s">
        <v>258</v>
      </c>
      <c r="B41" s="72"/>
      <c r="C41" s="72"/>
      <c r="D41" s="70"/>
      <c r="E41" s="70"/>
      <c r="F41" s="70"/>
      <c r="G41" s="70"/>
      <c r="H41" s="70"/>
    </row>
    <row r="42" spans="1:57" x14ac:dyDescent="0.25">
      <c r="A42" s="56" t="s">
        <v>442</v>
      </c>
      <c r="B42" s="70"/>
      <c r="C42" s="70"/>
      <c r="D42" s="186"/>
      <c r="E42" s="70"/>
      <c r="F42" s="70"/>
      <c r="G42" s="70"/>
      <c r="H42" s="70"/>
      <c r="I42" s="124"/>
      <c r="J42" s="124"/>
    </row>
    <row r="43" spans="1:57" x14ac:dyDescent="0.25">
      <c r="A43" s="57" t="s">
        <v>259</v>
      </c>
      <c r="B43" s="187"/>
      <c r="C43" s="187"/>
      <c r="D43" s="70"/>
      <c r="E43" s="70"/>
      <c r="F43" s="70"/>
      <c r="G43" s="70"/>
      <c r="H43" s="70"/>
    </row>
    <row r="44" spans="1:57" x14ac:dyDescent="0.25">
      <c r="B44" s="125"/>
      <c r="C44" s="125"/>
    </row>
    <row r="45" spans="1:57" x14ac:dyDescent="0.25">
      <c r="B45" s="124"/>
      <c r="C45" s="124"/>
    </row>
    <row r="46" spans="1:57" x14ac:dyDescent="0.25">
      <c r="B46" s="124"/>
      <c r="C46" s="124"/>
      <c r="E46" s="126"/>
      <c r="F46" s="126"/>
      <c r="H46" s="126"/>
    </row>
    <row r="47" spans="1:57" x14ac:dyDescent="0.25">
      <c r="E47" s="126"/>
      <c r="F47" s="126"/>
      <c r="H47" s="126"/>
    </row>
    <row r="48" spans="1:57" x14ac:dyDescent="0.25">
      <c r="E48" s="126"/>
      <c r="F48" s="126"/>
      <c r="H48" s="126"/>
    </row>
    <row r="49" spans="5:8" x14ac:dyDescent="0.25">
      <c r="E49" s="124"/>
      <c r="F49" s="124"/>
      <c r="H49" s="124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CA07E-906C-4A59-A55F-22CFF0C44D4E}">
  <dimension ref="A1:R46"/>
  <sheetViews>
    <sheetView workbookViewId="0"/>
  </sheetViews>
  <sheetFormatPr defaultRowHeight="15" x14ac:dyDescent="0.25"/>
  <cols>
    <col min="1" max="1" width="132.85546875" bestFit="1" customWidth="1"/>
    <col min="2" max="2" width="23.7109375" style="73" bestFit="1" customWidth="1"/>
    <col min="3" max="3" width="30.140625" style="73" bestFit="1" customWidth="1"/>
    <col min="4" max="4" width="44.28515625" style="73" bestFit="1" customWidth="1"/>
    <col min="5" max="5" width="12.7109375" style="73" bestFit="1" customWidth="1"/>
    <col min="6" max="6" width="30.5703125" style="73" bestFit="1" customWidth="1"/>
    <col min="7" max="7" width="10.42578125" style="73" bestFit="1" customWidth="1"/>
    <col min="8" max="8" width="10.140625" style="73" bestFit="1" customWidth="1"/>
    <col min="9" max="9" width="12.140625" style="73" bestFit="1" customWidth="1"/>
    <col min="10" max="10" width="21.140625" style="73" bestFit="1" customWidth="1"/>
    <col min="11" max="11" width="15.85546875" style="73" bestFit="1" customWidth="1"/>
    <col min="12" max="12" width="10.5703125" style="73" bestFit="1" customWidth="1"/>
    <col min="13" max="13" width="12.28515625" style="73" bestFit="1" customWidth="1"/>
    <col min="14" max="14" width="8.28515625" style="73" bestFit="1" customWidth="1"/>
    <col min="15" max="15" width="15.140625" style="73" bestFit="1" customWidth="1"/>
    <col min="16" max="16" width="33.140625" style="73" bestFit="1" customWidth="1"/>
    <col min="17" max="17" width="26.140625" style="73" bestFit="1" customWidth="1"/>
    <col min="18" max="18" width="13.5703125" style="73" bestFit="1" customWidth="1"/>
  </cols>
  <sheetData>
    <row r="1" spans="1:18" x14ac:dyDescent="0.25">
      <c r="A1" s="59" t="s">
        <v>443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60"/>
      <c r="R1" s="85"/>
    </row>
    <row r="2" spans="1:18" x14ac:dyDescent="0.25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1:18" s="75" customFormat="1" x14ac:dyDescent="0.25">
      <c r="A3" s="74" t="s">
        <v>443</v>
      </c>
      <c r="B3" s="74" t="s">
        <v>208</v>
      </c>
      <c r="C3" s="74" t="s">
        <v>401</v>
      </c>
      <c r="D3" s="74" t="s">
        <v>444</v>
      </c>
      <c r="E3" s="74" t="s">
        <v>445</v>
      </c>
      <c r="F3" s="74" t="s">
        <v>446</v>
      </c>
      <c r="G3" s="74" t="s">
        <v>447</v>
      </c>
      <c r="H3" s="74" t="s">
        <v>448</v>
      </c>
      <c r="I3" s="74" t="s">
        <v>449</v>
      </c>
      <c r="J3" s="74" t="s">
        <v>450</v>
      </c>
      <c r="K3" s="74" t="s">
        <v>451</v>
      </c>
      <c r="L3" s="74" t="s">
        <v>452</v>
      </c>
      <c r="M3" s="74" t="s">
        <v>453</v>
      </c>
      <c r="N3" s="74" t="s">
        <v>454</v>
      </c>
      <c r="O3" s="74" t="s">
        <v>455</v>
      </c>
      <c r="P3" s="74" t="s">
        <v>456</v>
      </c>
      <c r="Q3" s="74" t="s">
        <v>457</v>
      </c>
      <c r="R3" s="74" t="s">
        <v>458</v>
      </c>
    </row>
    <row r="4" spans="1:18" x14ac:dyDescent="0.25">
      <c r="A4" s="14" t="s">
        <v>213</v>
      </c>
      <c r="B4" s="87" t="s">
        <v>18</v>
      </c>
      <c r="C4" s="87" t="s">
        <v>18</v>
      </c>
      <c r="D4" s="16" t="s">
        <v>15</v>
      </c>
      <c r="E4" s="16" t="s">
        <v>6</v>
      </c>
      <c r="F4" s="16" t="s">
        <v>6</v>
      </c>
      <c r="G4" s="16" t="s">
        <v>6</v>
      </c>
      <c r="H4" s="16" t="s">
        <v>12</v>
      </c>
      <c r="I4" s="16" t="s">
        <v>12</v>
      </c>
      <c r="J4" s="16" t="s">
        <v>9</v>
      </c>
      <c r="K4" s="16" t="s">
        <v>6</v>
      </c>
      <c r="L4" s="16" t="s">
        <v>12</v>
      </c>
      <c r="M4" s="16" t="s">
        <v>12</v>
      </c>
      <c r="N4" s="16" t="s">
        <v>6</v>
      </c>
      <c r="O4" s="16" t="s">
        <v>6</v>
      </c>
      <c r="P4" s="16" t="s">
        <v>9</v>
      </c>
      <c r="Q4" s="16" t="s">
        <v>9</v>
      </c>
      <c r="R4" s="16" t="s">
        <v>15</v>
      </c>
    </row>
    <row r="5" spans="1:18" x14ac:dyDescent="0.25">
      <c r="A5" s="17" t="s">
        <v>214</v>
      </c>
      <c r="B5" s="87" t="s">
        <v>18</v>
      </c>
      <c r="C5" s="87" t="s">
        <v>18</v>
      </c>
      <c r="D5" s="18">
        <v>137.90699999999998</v>
      </c>
      <c r="E5" s="18">
        <v>138.982</v>
      </c>
      <c r="F5" s="18">
        <v>140.03899999999999</v>
      </c>
      <c r="G5" s="18">
        <v>141.00200000000001</v>
      </c>
      <c r="H5" s="18">
        <v>141.185</v>
      </c>
      <c r="I5" s="18">
        <v>141.232</v>
      </c>
      <c r="J5" s="18">
        <v>141.273</v>
      </c>
      <c r="K5" s="18">
        <v>141.63299999999998</v>
      </c>
      <c r="L5" s="18">
        <v>142.166</v>
      </c>
      <c r="M5" s="18">
        <v>142.68700000000001</v>
      </c>
      <c r="N5" s="18">
        <v>143.07900000000001</v>
      </c>
      <c r="O5" s="18">
        <v>143.11099999999999</v>
      </c>
      <c r="P5" s="18">
        <v>143.69900000000001</v>
      </c>
      <c r="Q5" s="18">
        <v>145.72</v>
      </c>
      <c r="R5" s="18">
        <v>147.39699999999999</v>
      </c>
    </row>
    <row r="6" spans="1:18" x14ac:dyDescent="0.25">
      <c r="A6" s="17" t="s">
        <v>372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</row>
    <row r="7" spans="1:18" x14ac:dyDescent="0.25">
      <c r="A7" s="26" t="s">
        <v>425</v>
      </c>
      <c r="B7" s="27">
        <v>100</v>
      </c>
      <c r="C7" s="27">
        <v>99.484670599443518</v>
      </c>
      <c r="D7" s="27">
        <v>78.181503507960372</v>
      </c>
      <c r="E7" s="27">
        <v>101.89646931841362</v>
      </c>
      <c r="F7" s="27">
        <v>102.20610602169137</v>
      </c>
      <c r="G7" s="27">
        <v>98.673506112066832</v>
      </c>
      <c r="H7" s="27">
        <v>100.63427346606312</v>
      </c>
      <c r="I7" s="27">
        <v>102.68402273683587</v>
      </c>
      <c r="J7" s="27">
        <v>95.859084586038662</v>
      </c>
      <c r="K7" s="27">
        <v>96.458191789875954</v>
      </c>
      <c r="L7" s="27">
        <v>96.387541359093674</v>
      </c>
      <c r="M7" s="27">
        <v>100.8395399000355</v>
      </c>
      <c r="N7" s="27">
        <v>99.485862024395757</v>
      </c>
      <c r="O7" s="27">
        <v>98.187888330217575</v>
      </c>
      <c r="P7" s="27">
        <v>102.67704128754454</v>
      </c>
      <c r="Q7" s="27">
        <v>99.090211515019647</v>
      </c>
      <c r="R7" s="27">
        <v>99.463925726231096</v>
      </c>
    </row>
    <row r="8" spans="1:18" x14ac:dyDescent="0.25">
      <c r="A8" s="26" t="s">
        <v>426</v>
      </c>
      <c r="B8" s="27">
        <v>100</v>
      </c>
      <c r="C8" s="27">
        <v>100.22338735984232</v>
      </c>
      <c r="D8" s="27">
        <v>103.70865472727486</v>
      </c>
      <c r="E8" s="27">
        <v>99.335977341757712</v>
      </c>
      <c r="F8" s="27">
        <v>100.49971337396349</v>
      </c>
      <c r="G8" s="27">
        <v>98.16576625917935</v>
      </c>
      <c r="H8" s="27">
        <v>105.92904102587083</v>
      </c>
      <c r="I8" s="27">
        <v>104.9927285563672</v>
      </c>
      <c r="J8" s="27">
        <v>97.921752372899533</v>
      </c>
      <c r="K8" s="27">
        <v>98.782956275065843</v>
      </c>
      <c r="L8" s="27">
        <v>102.25830908835826</v>
      </c>
      <c r="M8" s="27">
        <v>102.18989541748041</v>
      </c>
      <c r="N8" s="27">
        <v>102.55884058345349</v>
      </c>
      <c r="O8" s="27">
        <v>101.99707032563403</v>
      </c>
      <c r="P8" s="27">
        <v>99.299276710648044</v>
      </c>
      <c r="Q8" s="27">
        <v>101.01850122023524</v>
      </c>
      <c r="R8" s="27">
        <v>103.71444846541704</v>
      </c>
    </row>
    <row r="9" spans="1:18" x14ac:dyDescent="0.25">
      <c r="A9" s="26" t="s">
        <v>427</v>
      </c>
      <c r="B9" s="27">
        <v>100</v>
      </c>
      <c r="C9" s="27">
        <v>100.5107827134356</v>
      </c>
      <c r="D9" s="27">
        <v>102.21629755755258</v>
      </c>
      <c r="E9" s="27">
        <v>94.498631410793578</v>
      </c>
      <c r="F9" s="27">
        <v>101.02329200079821</v>
      </c>
      <c r="G9" s="27">
        <v>98.401900942631841</v>
      </c>
      <c r="H9" s="27">
        <v>105.98251632935872</v>
      </c>
      <c r="I9" s="27">
        <v>105.29137313523698</v>
      </c>
      <c r="J9" s="27">
        <v>98.426873326925048</v>
      </c>
      <c r="K9" s="27">
        <v>99.115070520692058</v>
      </c>
      <c r="L9" s="27">
        <v>101.19809812618102</v>
      </c>
      <c r="M9" s="27">
        <v>103.58472566217928</v>
      </c>
      <c r="N9" s="27">
        <v>105.205488307843</v>
      </c>
      <c r="O9" s="27">
        <v>104.82031309785495</v>
      </c>
      <c r="P9" s="27">
        <v>99.182519177574534</v>
      </c>
      <c r="Q9" s="27">
        <v>104.99728661402364</v>
      </c>
      <c r="R9" s="27">
        <v>100.70219241766311</v>
      </c>
    </row>
    <row r="10" spans="1:18" x14ac:dyDescent="0.25">
      <c r="A10" s="26" t="s">
        <v>428</v>
      </c>
      <c r="B10" s="27">
        <v>100</v>
      </c>
      <c r="C10" s="79">
        <v>99.799477506172025</v>
      </c>
      <c r="D10" s="79">
        <v>92.342059299076567</v>
      </c>
      <c r="E10" s="27">
        <v>98.766714175132407</v>
      </c>
      <c r="F10" s="27">
        <v>101.31261442749768</v>
      </c>
      <c r="G10" s="27">
        <v>98.413724437959345</v>
      </c>
      <c r="H10" s="27">
        <v>103.58769440006472</v>
      </c>
      <c r="I10" s="27">
        <v>104.32270814281334</v>
      </c>
      <c r="J10" s="27">
        <v>97.455793733537718</v>
      </c>
      <c r="K10" s="27">
        <v>98.087604185040007</v>
      </c>
      <c r="L10" s="27">
        <v>99.802208410390179</v>
      </c>
      <c r="M10" s="27">
        <v>102.04280278440704</v>
      </c>
      <c r="N10" s="27">
        <v>102.41673030523074</v>
      </c>
      <c r="O10" s="27">
        <v>101.48418989657893</v>
      </c>
      <c r="P10" s="27">
        <v>100.38627905858904</v>
      </c>
      <c r="Q10" s="27">
        <v>101.59902206962626</v>
      </c>
      <c r="R10" s="27">
        <v>101.25599897003006</v>
      </c>
    </row>
    <row r="11" spans="1:18" x14ac:dyDescent="0.25">
      <c r="A11" s="28" t="s">
        <v>429</v>
      </c>
      <c r="B11" s="27">
        <v>100</v>
      </c>
      <c r="C11" s="27">
        <v>99.878498929388002</v>
      </c>
      <c r="D11" s="27">
        <v>69.233981783602786</v>
      </c>
      <c r="E11" s="27">
        <v>104.41674420518996</v>
      </c>
      <c r="F11" s="27">
        <v>102.33558000219217</v>
      </c>
      <c r="G11" s="27">
        <v>99.987032929517838</v>
      </c>
      <c r="H11" s="27">
        <v>100.24153130941153</v>
      </c>
      <c r="I11" s="27">
        <v>100.40403854469135</v>
      </c>
      <c r="J11" s="27">
        <v>100.55889505671279</v>
      </c>
      <c r="K11" s="27">
        <v>96.579276143567256</v>
      </c>
      <c r="L11" s="27">
        <v>95.726810181794519</v>
      </c>
      <c r="M11" s="27">
        <v>105.17686090337504</v>
      </c>
      <c r="N11" s="27">
        <v>98.130513896523397</v>
      </c>
      <c r="O11" s="27">
        <v>97.821846399337417</v>
      </c>
      <c r="P11" s="27">
        <v>102.15212592972406</v>
      </c>
      <c r="Q11" s="27">
        <v>98.371873871138533</v>
      </c>
      <c r="R11" s="27">
        <v>100.3690806452063</v>
      </c>
    </row>
    <row r="12" spans="1:18" x14ac:dyDescent="0.25">
      <c r="A12" s="14" t="s">
        <v>378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18" x14ac:dyDescent="0.25">
      <c r="A13" s="26" t="s">
        <v>430</v>
      </c>
      <c r="B13" s="20">
        <v>100</v>
      </c>
      <c r="C13" s="27">
        <v>98.0144004207839</v>
      </c>
      <c r="D13" s="27">
        <v>64.604173164988708</v>
      </c>
      <c r="E13" s="27">
        <v>99.690954132547063</v>
      </c>
      <c r="F13" s="27">
        <v>111.56523375715662</v>
      </c>
      <c r="G13" s="27">
        <v>96.391664598261599</v>
      </c>
      <c r="H13" s="27">
        <v>102.98997751122022</v>
      </c>
      <c r="I13" s="27">
        <v>98.642678910719241</v>
      </c>
      <c r="J13" s="27">
        <v>86.689597224263693</v>
      </c>
      <c r="K13" s="27">
        <v>87.186391300780173</v>
      </c>
      <c r="L13" s="27">
        <v>104.50455252571571</v>
      </c>
      <c r="M13" s="27">
        <v>89.976238569440298</v>
      </c>
      <c r="N13" s="27">
        <v>99.798677623327308</v>
      </c>
      <c r="O13" s="27">
        <v>93.453481112630627</v>
      </c>
      <c r="P13" s="27">
        <v>111.53094623835555</v>
      </c>
      <c r="Q13" s="27">
        <v>103.20450968802884</v>
      </c>
      <c r="R13" s="27">
        <v>96.360994709806803</v>
      </c>
    </row>
    <row r="14" spans="1:18" x14ac:dyDescent="0.25">
      <c r="A14" s="21" t="s">
        <v>431</v>
      </c>
      <c r="B14" s="27">
        <v>100</v>
      </c>
      <c r="C14" s="27">
        <v>100.49049194648769</v>
      </c>
      <c r="D14" s="27">
        <v>63.278389619507777</v>
      </c>
      <c r="E14" s="27">
        <v>100.97438820531525</v>
      </c>
      <c r="F14" s="27">
        <v>103.58009412538689</v>
      </c>
      <c r="G14" s="27">
        <v>102.39325610936874</v>
      </c>
      <c r="H14" s="27">
        <v>102.68240241776221</v>
      </c>
      <c r="I14" s="27">
        <v>101.43488329562082</v>
      </c>
      <c r="J14" s="27">
        <v>106.11203601468861</v>
      </c>
      <c r="K14" s="27">
        <v>99.114241803982267</v>
      </c>
      <c r="L14" s="27">
        <v>96.34724872816588</v>
      </c>
      <c r="M14" s="27">
        <v>98.407683837437162</v>
      </c>
      <c r="N14" s="27">
        <v>99.88836666844648</v>
      </c>
      <c r="O14" s="27">
        <v>96.992604766426496</v>
      </c>
      <c r="P14" s="27">
        <v>94.509095789336442</v>
      </c>
      <c r="Q14" s="27">
        <v>97.242688992137516</v>
      </c>
      <c r="R14" s="27">
        <v>98.508967508796289</v>
      </c>
    </row>
    <row r="15" spans="1:18" x14ac:dyDescent="0.25">
      <c r="A15" s="94" t="s">
        <v>381</v>
      </c>
      <c r="B15" s="91">
        <v>72.33</v>
      </c>
      <c r="C15" s="91">
        <v>72.409638702620995</v>
      </c>
      <c r="D15" s="91">
        <v>71.393996132840641</v>
      </c>
      <c r="E15" s="91">
        <v>73.342142851966017</v>
      </c>
      <c r="F15" s="91">
        <v>71.912043033305139</v>
      </c>
      <c r="G15" s="91">
        <v>72.229377952480164</v>
      </c>
      <c r="H15" s="91">
        <v>71.821858387486245</v>
      </c>
      <c r="I15" s="91">
        <v>71.351097470432521</v>
      </c>
      <c r="J15" s="91">
        <v>72.52265008039771</v>
      </c>
      <c r="K15" s="91">
        <v>72.771944863553131</v>
      </c>
      <c r="L15" s="91">
        <v>72.504141246389452</v>
      </c>
      <c r="M15" s="91">
        <v>75.237602819545401</v>
      </c>
      <c r="N15" s="91">
        <v>71.387377952480151</v>
      </c>
      <c r="O15" s="91">
        <v>72.814945561941059</v>
      </c>
      <c r="P15" s="91">
        <v>72.8233779524802</v>
      </c>
      <c r="Q15" s="91">
        <v>72.467399387928907</v>
      </c>
      <c r="R15" s="91">
        <v>73.491641222845146</v>
      </c>
    </row>
    <row r="16" spans="1:18" x14ac:dyDescent="0.25">
      <c r="A16" s="21" t="s">
        <v>432</v>
      </c>
      <c r="B16" s="27">
        <v>100</v>
      </c>
      <c r="C16" s="27">
        <v>97.612771518421738</v>
      </c>
      <c r="D16" s="27">
        <v>83.195901573702145</v>
      </c>
      <c r="E16" s="27">
        <v>106.42114297345016</v>
      </c>
      <c r="F16" s="27">
        <v>101.43980094501768</v>
      </c>
      <c r="G16" s="27">
        <v>95.178103113310911</v>
      </c>
      <c r="H16" s="27">
        <v>96.303433372411519</v>
      </c>
      <c r="I16" s="27">
        <v>100.01012478946119</v>
      </c>
      <c r="J16" s="27">
        <v>89.43668800405986</v>
      </c>
      <c r="K16" s="27">
        <v>88.376985631506045</v>
      </c>
      <c r="L16" s="27">
        <v>94.736783544128045</v>
      </c>
      <c r="M16" s="27">
        <v>108.09571555373392</v>
      </c>
      <c r="N16" s="27">
        <v>97.44233190116438</v>
      </c>
      <c r="O16" s="27">
        <v>96.81826454608121</v>
      </c>
      <c r="P16" s="27">
        <v>117.71474601687642</v>
      </c>
      <c r="Q16" s="27">
        <v>102.9674396612936</v>
      </c>
      <c r="R16" s="27">
        <v>102.38036032520529</v>
      </c>
    </row>
    <row r="17" spans="1:18" x14ac:dyDescent="0.25">
      <c r="A17" s="24" t="s">
        <v>433</v>
      </c>
      <c r="B17" s="91">
        <v>69.369084876439402</v>
      </c>
      <c r="C17" s="91">
        <v>70.003524936707493</v>
      </c>
      <c r="D17" s="91">
        <v>68.614747899666028</v>
      </c>
      <c r="E17" s="91">
        <v>70.457553033751054</v>
      </c>
      <c r="F17" s="91">
        <v>68.953710672421778</v>
      </c>
      <c r="G17" s="91">
        <v>69.422278895390207</v>
      </c>
      <c r="H17" s="91">
        <v>70.388150207921541</v>
      </c>
      <c r="I17" s="91">
        <v>69.973472259905918</v>
      </c>
      <c r="J17" s="91">
        <v>69.708585732245226</v>
      </c>
      <c r="K17" s="91">
        <v>71.547111218069574</v>
      </c>
      <c r="L17" s="91">
        <v>68.658091346558422</v>
      </c>
      <c r="M17" s="91">
        <v>70.929009468333447</v>
      </c>
      <c r="N17" s="91">
        <v>69.303278895390207</v>
      </c>
      <c r="O17" s="91">
        <v>70.337216905222093</v>
      </c>
      <c r="P17" s="91">
        <v>67.271278895390182</v>
      </c>
      <c r="Q17" s="91">
        <v>67.295682830893028</v>
      </c>
      <c r="R17" s="91">
        <v>68.628097603750589</v>
      </c>
    </row>
    <row r="18" spans="1:18" x14ac:dyDescent="0.25">
      <c r="A18" s="21" t="s">
        <v>434</v>
      </c>
      <c r="B18" s="27">
        <v>100</v>
      </c>
      <c r="C18" s="27">
        <v>99.994260700020021</v>
      </c>
      <c r="D18" s="27">
        <v>96.344372780301981</v>
      </c>
      <c r="E18" s="27">
        <v>100.71659754687593</v>
      </c>
      <c r="F18" s="27">
        <v>98.359079632541011</v>
      </c>
      <c r="G18" s="27">
        <v>97.336066698872159</v>
      </c>
      <c r="H18" s="27">
        <v>100.35204074277431</v>
      </c>
      <c r="I18" s="27">
        <v>107.43434972677754</v>
      </c>
      <c r="J18" s="27">
        <v>90.723009428573349</v>
      </c>
      <c r="K18" s="27">
        <v>101.1073583145137</v>
      </c>
      <c r="L18" s="27">
        <v>95.188116630583735</v>
      </c>
      <c r="M18" s="27">
        <v>101.70382314172919</v>
      </c>
      <c r="N18" s="27">
        <v>100.31429218838426</v>
      </c>
      <c r="O18" s="27">
        <v>102.13216981893309</v>
      </c>
      <c r="P18" s="27">
        <v>99.542519656180403</v>
      </c>
      <c r="Q18" s="27">
        <v>97.648169649053472</v>
      </c>
      <c r="R18" s="27">
        <v>99.380393141077761</v>
      </c>
    </row>
    <row r="19" spans="1:18" x14ac:dyDescent="0.25">
      <c r="A19" s="19" t="s">
        <v>239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</row>
    <row r="20" spans="1:18" x14ac:dyDescent="0.25">
      <c r="A20" s="21" t="s">
        <v>386</v>
      </c>
      <c r="B20" s="27">
        <v>62.5759434798128</v>
      </c>
      <c r="C20" s="27">
        <v>63.187134063167562</v>
      </c>
      <c r="D20" s="27">
        <v>82.891541789486368</v>
      </c>
      <c r="E20" s="27">
        <v>62.031340864855856</v>
      </c>
      <c r="F20" s="27">
        <v>61.482412405949262</v>
      </c>
      <c r="G20" s="27">
        <v>63.257555536114886</v>
      </c>
      <c r="H20" s="27">
        <v>66.549795572336478</v>
      </c>
      <c r="I20" s="27">
        <v>67.198848266574402</v>
      </c>
      <c r="J20" s="27">
        <v>69.52685553611488</v>
      </c>
      <c r="K20" s="27">
        <v>65.795224122595428</v>
      </c>
      <c r="L20" s="27">
        <v>61.917768278156721</v>
      </c>
      <c r="M20" s="27">
        <v>62.426803620390146</v>
      </c>
      <c r="N20" s="27">
        <v>61.008655536114901</v>
      </c>
      <c r="O20" s="27">
        <v>65.547615913375026</v>
      </c>
      <c r="P20" s="27">
        <v>55.964955536114886</v>
      </c>
      <c r="Q20" s="27">
        <v>58.356088122417624</v>
      </c>
      <c r="R20" s="27">
        <v>58.634989223705233</v>
      </c>
    </row>
    <row r="21" spans="1:18" x14ac:dyDescent="0.25">
      <c r="A21" s="21" t="s">
        <v>435</v>
      </c>
      <c r="B21" s="27">
        <v>56.269460360823373</v>
      </c>
      <c r="C21" s="27">
        <v>58.350011603277039</v>
      </c>
      <c r="D21" s="27">
        <v>81.825590816313508</v>
      </c>
      <c r="E21" s="27">
        <v>53.702373712348489</v>
      </c>
      <c r="F21" s="27">
        <v>55.728475124229703</v>
      </c>
      <c r="G21" s="27">
        <v>57.476953386456621</v>
      </c>
      <c r="H21" s="27">
        <v>67.300621291936395</v>
      </c>
      <c r="I21" s="27">
        <v>62.369016339666388</v>
      </c>
      <c r="J21" s="27">
        <v>59.727044295547529</v>
      </c>
      <c r="K21" s="27">
        <v>63.501401023283364</v>
      </c>
      <c r="L21" s="27">
        <v>58.258132028428598</v>
      </c>
      <c r="M21" s="27">
        <v>55.851393825571591</v>
      </c>
      <c r="N21" s="27">
        <v>57.831143101400428</v>
      </c>
      <c r="O21" s="27">
        <v>61.859723271943615</v>
      </c>
      <c r="P21" s="27">
        <v>48.218044295547529</v>
      </c>
      <c r="Q21" s="27">
        <v>54.31522680064819</v>
      </c>
      <c r="R21" s="27">
        <v>55.86570630081934</v>
      </c>
    </row>
    <row r="22" spans="1:18" x14ac:dyDescent="0.25">
      <c r="A22" s="26" t="s">
        <v>436</v>
      </c>
      <c r="B22" s="27">
        <v>100</v>
      </c>
      <c r="C22" s="27">
        <v>100.62787071233969</v>
      </c>
      <c r="D22" s="79" t="s">
        <v>18</v>
      </c>
      <c r="E22" s="27">
        <v>91.926429935222146</v>
      </c>
      <c r="F22" s="27">
        <v>103.50109089368964</v>
      </c>
      <c r="G22" s="27">
        <v>110.2386001433069</v>
      </c>
      <c r="H22" s="27" t="s">
        <v>459</v>
      </c>
      <c r="I22" s="79" t="s">
        <v>18</v>
      </c>
      <c r="J22" s="27">
        <v>90.956105968400195</v>
      </c>
      <c r="K22" s="27">
        <v>89.897959278673937</v>
      </c>
      <c r="L22" s="27">
        <v>82.217736797818532</v>
      </c>
      <c r="M22" s="27">
        <v>91.556701304715986</v>
      </c>
      <c r="N22" s="27">
        <v>122.90895147079283</v>
      </c>
      <c r="O22" s="27">
        <v>85.294192552352627</v>
      </c>
      <c r="P22" s="27">
        <v>91.393382719989162</v>
      </c>
      <c r="Q22" s="27">
        <v>105.5228766327714</v>
      </c>
      <c r="R22" s="27">
        <v>90.076804814121829</v>
      </c>
    </row>
    <row r="23" spans="1:18" x14ac:dyDescent="0.25">
      <c r="A23" s="39" t="s">
        <v>240</v>
      </c>
      <c r="B23" s="91">
        <v>7.400576607730323</v>
      </c>
      <c r="C23" s="91">
        <v>7.3795561970474122</v>
      </c>
      <c r="D23" s="91">
        <v>7.0713369043382812</v>
      </c>
      <c r="E23" s="91">
        <v>7.1373576820400677</v>
      </c>
      <c r="F23" s="91">
        <v>7.4617919578535306</v>
      </c>
      <c r="G23" s="91">
        <v>7.5037645829512387</v>
      </c>
      <c r="H23" s="91">
        <v>7.9267188822782506</v>
      </c>
      <c r="I23" s="91" t="s">
        <v>18</v>
      </c>
      <c r="J23" s="91">
        <v>7.4305038932656551</v>
      </c>
      <c r="K23" s="91">
        <v>7.3433007917231388</v>
      </c>
      <c r="L23" s="91">
        <v>7.5961478330766701</v>
      </c>
      <c r="M23" s="91">
        <v>7.4009901545984356</v>
      </c>
      <c r="N23" s="91">
        <v>7.5814524414950286</v>
      </c>
      <c r="O23" s="91">
        <v>7.2496697262214695</v>
      </c>
      <c r="P23" s="91">
        <v>7.5631614311404558</v>
      </c>
      <c r="Q23" s="91">
        <v>7.5433007917231381</v>
      </c>
      <c r="R23" s="91">
        <v>7.4711478855736591</v>
      </c>
    </row>
    <row r="24" spans="1:18" x14ac:dyDescent="0.25">
      <c r="A24" s="14" t="s">
        <v>241</v>
      </c>
      <c r="B24" s="64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</row>
    <row r="25" spans="1:18" x14ac:dyDescent="0.25">
      <c r="A25" s="96" t="s">
        <v>242</v>
      </c>
      <c r="B25" s="40">
        <v>6.7666666666666684</v>
      </c>
      <c r="C25" s="91">
        <v>6.7</v>
      </c>
      <c r="D25" s="91">
        <v>8.9</v>
      </c>
      <c r="E25" s="40">
        <v>4.5</v>
      </c>
      <c r="F25" s="40">
        <v>7</v>
      </c>
      <c r="G25" s="40">
        <v>8.1</v>
      </c>
      <c r="H25" s="40">
        <v>8.6</v>
      </c>
      <c r="I25" s="40">
        <v>8.8000000000000007</v>
      </c>
      <c r="J25" s="91">
        <v>4.3</v>
      </c>
      <c r="K25" s="40">
        <v>6.7</v>
      </c>
      <c r="L25" s="91">
        <v>6.6</v>
      </c>
      <c r="M25" s="40">
        <v>5.3</v>
      </c>
      <c r="N25" s="40">
        <v>7.2</v>
      </c>
      <c r="O25" s="91">
        <v>8.6</v>
      </c>
      <c r="P25" s="40">
        <v>6</v>
      </c>
      <c r="Q25" s="40">
        <v>7.4</v>
      </c>
      <c r="R25" s="91">
        <v>2.2999999999999998</v>
      </c>
    </row>
    <row r="26" spans="1:18" x14ac:dyDescent="0.25">
      <c r="A26" s="96" t="s">
        <v>243</v>
      </c>
      <c r="B26" s="40">
        <v>5.1499999999999995</v>
      </c>
      <c r="C26" s="91">
        <v>5.12</v>
      </c>
      <c r="D26" s="40" t="s">
        <v>460</v>
      </c>
      <c r="E26" s="40">
        <v>4.7</v>
      </c>
      <c r="F26" s="40">
        <v>5.3</v>
      </c>
      <c r="G26" s="40">
        <v>5.2</v>
      </c>
      <c r="H26" s="40">
        <v>6.7</v>
      </c>
      <c r="I26" s="40">
        <v>6</v>
      </c>
      <c r="J26" s="40">
        <v>5.3</v>
      </c>
      <c r="K26" s="40">
        <v>5.9</v>
      </c>
      <c r="L26" s="40">
        <v>3.3</v>
      </c>
      <c r="M26" s="40">
        <v>6.7</v>
      </c>
      <c r="N26" s="40">
        <v>4.5</v>
      </c>
      <c r="O26" s="40">
        <v>6.8</v>
      </c>
      <c r="P26" s="40">
        <v>7</v>
      </c>
      <c r="Q26" s="40">
        <v>6.4</v>
      </c>
      <c r="R26" s="40">
        <v>6.1</v>
      </c>
    </row>
    <row r="27" spans="1:18" x14ac:dyDescent="0.25">
      <c r="A27" s="96" t="s">
        <v>244</v>
      </c>
      <c r="B27" s="40">
        <v>6.916666666666667</v>
      </c>
      <c r="C27" s="91">
        <v>7.4599999999999991</v>
      </c>
      <c r="D27" s="40" t="s">
        <v>343</v>
      </c>
      <c r="E27" s="40">
        <v>7.1</v>
      </c>
      <c r="F27" s="40">
        <v>7.6</v>
      </c>
      <c r="G27" s="40">
        <v>7.2</v>
      </c>
      <c r="H27" s="40">
        <v>7</v>
      </c>
      <c r="I27" s="40" t="s">
        <v>266</v>
      </c>
      <c r="J27" s="40">
        <v>7</v>
      </c>
      <c r="K27" s="40">
        <v>7.7</v>
      </c>
      <c r="L27" s="40">
        <v>8.3000000000000007</v>
      </c>
      <c r="M27" s="40">
        <v>7.2</v>
      </c>
      <c r="N27" s="40">
        <v>7.7</v>
      </c>
      <c r="O27" s="40">
        <v>7.1</v>
      </c>
      <c r="P27" s="40">
        <v>7</v>
      </c>
      <c r="Q27" s="40">
        <v>6.3</v>
      </c>
      <c r="R27" s="40">
        <v>7.3</v>
      </c>
    </row>
    <row r="28" spans="1:18" x14ac:dyDescent="0.25">
      <c r="A28" s="96" t="s">
        <v>392</v>
      </c>
      <c r="B28" s="40">
        <v>6.083333333333333</v>
      </c>
      <c r="C28" s="91">
        <v>6.1400000000000006</v>
      </c>
      <c r="D28" s="91" t="s">
        <v>461</v>
      </c>
      <c r="E28" s="40">
        <v>3.1</v>
      </c>
      <c r="F28" s="40">
        <v>7.3</v>
      </c>
      <c r="G28" s="40">
        <v>6.7</v>
      </c>
      <c r="H28" s="40" t="s">
        <v>462</v>
      </c>
      <c r="I28" s="40" t="s">
        <v>438</v>
      </c>
      <c r="J28" s="40">
        <v>6.9</v>
      </c>
      <c r="K28" s="40">
        <v>7.1</v>
      </c>
      <c r="L28" s="40">
        <v>7</v>
      </c>
      <c r="M28" s="40" t="s">
        <v>463</v>
      </c>
      <c r="N28" s="91">
        <v>6.5</v>
      </c>
      <c r="O28" s="40">
        <v>7.2</v>
      </c>
      <c r="P28" s="91">
        <v>7.2</v>
      </c>
      <c r="Q28" s="40">
        <v>7.1</v>
      </c>
      <c r="R28" s="40">
        <v>7.1</v>
      </c>
    </row>
    <row r="29" spans="1:18" x14ac:dyDescent="0.25">
      <c r="A29" s="96" t="s">
        <v>395</v>
      </c>
      <c r="B29" s="40">
        <v>6.4416666666666664</v>
      </c>
      <c r="C29" s="40">
        <v>6.9599999999999991</v>
      </c>
      <c r="D29" s="40" t="s">
        <v>18</v>
      </c>
      <c r="E29" s="40">
        <v>5.7</v>
      </c>
      <c r="F29" s="40">
        <v>6.75</v>
      </c>
      <c r="G29" s="40">
        <v>6.75</v>
      </c>
      <c r="H29" s="40" t="s">
        <v>18</v>
      </c>
      <c r="I29" s="40" t="s">
        <v>18</v>
      </c>
      <c r="J29" s="40">
        <v>6.7</v>
      </c>
      <c r="K29" s="40">
        <v>7.75</v>
      </c>
      <c r="L29" s="40" t="s">
        <v>18</v>
      </c>
      <c r="M29" s="40" t="s">
        <v>18</v>
      </c>
      <c r="N29" s="91">
        <v>7.85</v>
      </c>
      <c r="O29" s="40" t="s">
        <v>18</v>
      </c>
      <c r="P29" s="91">
        <v>6.6</v>
      </c>
      <c r="Q29" s="91">
        <v>7.1</v>
      </c>
      <c r="R29" s="40" t="s">
        <v>18</v>
      </c>
    </row>
    <row r="30" spans="1:18" x14ac:dyDescent="0.25">
      <c r="A30" s="38" t="s">
        <v>245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91"/>
      <c r="O30" s="40"/>
      <c r="P30" s="91"/>
      <c r="Q30" s="91"/>
      <c r="R30" s="40"/>
    </row>
    <row r="31" spans="1:18" x14ac:dyDescent="0.25">
      <c r="A31" s="96" t="s">
        <v>246</v>
      </c>
      <c r="B31" s="42" t="s">
        <v>18</v>
      </c>
      <c r="C31" s="42" t="s">
        <v>18</v>
      </c>
      <c r="D31" s="42">
        <v>2024</v>
      </c>
      <c r="E31" s="64">
        <v>2002</v>
      </c>
      <c r="F31" s="42">
        <v>2014</v>
      </c>
      <c r="G31" s="64">
        <v>2005</v>
      </c>
      <c r="H31" s="42">
        <v>2023</v>
      </c>
      <c r="I31" s="42">
        <v>2026</v>
      </c>
      <c r="J31" s="64">
        <v>2008</v>
      </c>
      <c r="K31" s="42">
        <v>2018</v>
      </c>
      <c r="L31" s="42">
        <v>2020</v>
      </c>
      <c r="M31" s="42">
        <v>2022</v>
      </c>
      <c r="N31" s="42">
        <v>2012</v>
      </c>
      <c r="O31" s="42">
        <v>2021</v>
      </c>
      <c r="P31" s="42">
        <v>2011</v>
      </c>
      <c r="Q31" s="42">
        <v>2018</v>
      </c>
      <c r="R31" s="42">
        <v>2020</v>
      </c>
    </row>
    <row r="32" spans="1:18" x14ac:dyDescent="0.25">
      <c r="A32" s="39" t="s">
        <v>247</v>
      </c>
      <c r="B32" s="42" t="s">
        <v>18</v>
      </c>
      <c r="C32" s="42" t="s">
        <v>18</v>
      </c>
      <c r="D32" s="122" t="s">
        <v>156</v>
      </c>
      <c r="E32" s="122" t="s">
        <v>151</v>
      </c>
      <c r="F32" s="122" t="s">
        <v>159</v>
      </c>
      <c r="G32" s="188" t="s">
        <v>165</v>
      </c>
      <c r="H32" s="188" t="s">
        <v>165</v>
      </c>
      <c r="I32" s="188" t="s">
        <v>165</v>
      </c>
      <c r="J32" s="122" t="s">
        <v>156</v>
      </c>
      <c r="K32" s="122" t="s">
        <v>148</v>
      </c>
      <c r="L32" s="122" t="s">
        <v>159</v>
      </c>
      <c r="M32" s="122" t="s">
        <v>151</v>
      </c>
      <c r="N32" s="188" t="s">
        <v>165</v>
      </c>
      <c r="O32" s="188" t="s">
        <v>165</v>
      </c>
      <c r="P32" s="122" t="s">
        <v>151</v>
      </c>
      <c r="Q32" s="122" t="s">
        <v>156</v>
      </c>
      <c r="R32" s="122" t="s">
        <v>151</v>
      </c>
    </row>
    <row r="33" spans="1:18" x14ac:dyDescent="0.25">
      <c r="A33" s="39" t="s">
        <v>248</v>
      </c>
      <c r="B33" s="42"/>
      <c r="C33" s="42" t="s">
        <v>18</v>
      </c>
      <c r="D33" s="122" t="s">
        <v>156</v>
      </c>
      <c r="E33" s="122" t="s">
        <v>267</v>
      </c>
      <c r="F33" s="122" t="s">
        <v>159</v>
      </c>
      <c r="G33" s="122" t="s">
        <v>289</v>
      </c>
      <c r="H33" s="122" t="s">
        <v>156</v>
      </c>
      <c r="I33" s="188" t="s">
        <v>162</v>
      </c>
      <c r="J33" s="122" t="s">
        <v>156</v>
      </c>
      <c r="K33" s="122" t="s">
        <v>249</v>
      </c>
      <c r="L33" s="122" t="s">
        <v>159</v>
      </c>
      <c r="M33" s="122" t="s">
        <v>267</v>
      </c>
      <c r="N33" s="188" t="s">
        <v>162</v>
      </c>
      <c r="O33" s="188" t="s">
        <v>162</v>
      </c>
      <c r="P33" s="122" t="s">
        <v>267</v>
      </c>
      <c r="Q33" s="122" t="s">
        <v>156</v>
      </c>
      <c r="R33" s="122" t="s">
        <v>267</v>
      </c>
    </row>
    <row r="34" spans="1:18" x14ac:dyDescent="0.25">
      <c r="A34" s="19" t="s">
        <v>250</v>
      </c>
      <c r="B34" s="42" t="s">
        <v>18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8" x14ac:dyDescent="0.25">
      <c r="A35" s="39" t="s">
        <v>397</v>
      </c>
      <c r="B35" s="42" t="s">
        <v>18</v>
      </c>
      <c r="C35" s="42" t="s">
        <v>18</v>
      </c>
      <c r="D35" s="42" t="s">
        <v>18</v>
      </c>
      <c r="E35" s="64">
        <v>11</v>
      </c>
      <c r="F35" s="64">
        <v>5</v>
      </c>
      <c r="G35" s="64">
        <v>5</v>
      </c>
      <c r="H35" s="64">
        <v>2</v>
      </c>
      <c r="I35" s="42" t="s">
        <v>18</v>
      </c>
      <c r="J35" s="64">
        <v>5</v>
      </c>
      <c r="K35" s="64">
        <v>4</v>
      </c>
      <c r="L35" s="64">
        <v>4</v>
      </c>
      <c r="M35" s="64">
        <v>4</v>
      </c>
      <c r="N35" s="64">
        <v>6</v>
      </c>
      <c r="O35" s="64">
        <v>4</v>
      </c>
      <c r="P35" s="64">
        <v>5</v>
      </c>
      <c r="Q35" s="64">
        <v>4</v>
      </c>
      <c r="R35" s="64">
        <v>4</v>
      </c>
    </row>
    <row r="36" spans="1:18" x14ac:dyDescent="0.25">
      <c r="A36" s="39" t="s">
        <v>251</v>
      </c>
      <c r="B36" s="42" t="s">
        <v>18</v>
      </c>
      <c r="C36" s="42" t="s">
        <v>18</v>
      </c>
      <c r="D36" s="42">
        <v>9</v>
      </c>
      <c r="E36" s="64">
        <v>28</v>
      </c>
      <c r="F36" s="64">
        <v>20</v>
      </c>
      <c r="G36" s="64">
        <v>10</v>
      </c>
      <c r="H36" s="64">
        <v>12</v>
      </c>
      <c r="I36" s="64">
        <v>5</v>
      </c>
      <c r="J36" s="64">
        <v>9</v>
      </c>
      <c r="K36" s="64">
        <v>11</v>
      </c>
      <c r="L36" s="64">
        <v>12</v>
      </c>
      <c r="M36" s="64">
        <v>13</v>
      </c>
      <c r="N36" s="64">
        <v>10</v>
      </c>
      <c r="O36" s="64">
        <v>13</v>
      </c>
      <c r="P36" s="64">
        <v>10</v>
      </c>
      <c r="Q36" s="64">
        <v>11</v>
      </c>
      <c r="R36" s="64">
        <v>12</v>
      </c>
    </row>
    <row r="37" spans="1:18" x14ac:dyDescent="0.25">
      <c r="A37" s="39" t="s">
        <v>252</v>
      </c>
      <c r="B37" s="42" t="s">
        <v>18</v>
      </c>
      <c r="C37" s="42" t="s">
        <v>18</v>
      </c>
      <c r="D37" s="42">
        <v>6</v>
      </c>
      <c r="E37" s="42">
        <v>26</v>
      </c>
      <c r="F37" s="42">
        <v>17</v>
      </c>
      <c r="G37" s="42">
        <v>10</v>
      </c>
      <c r="H37" s="42">
        <v>9</v>
      </c>
      <c r="I37" s="42">
        <v>5</v>
      </c>
      <c r="J37" s="42">
        <v>10</v>
      </c>
      <c r="K37" s="42">
        <v>11</v>
      </c>
      <c r="L37" s="42">
        <v>11</v>
      </c>
      <c r="M37" s="42">
        <v>12</v>
      </c>
      <c r="N37" s="42">
        <v>10</v>
      </c>
      <c r="O37" s="42">
        <v>12</v>
      </c>
      <c r="P37" s="42">
        <v>10</v>
      </c>
      <c r="Q37" s="42">
        <v>11</v>
      </c>
      <c r="R37" s="42">
        <v>11</v>
      </c>
    </row>
    <row r="38" spans="1:18" x14ac:dyDescent="0.25">
      <c r="A38" s="39" t="s">
        <v>253</v>
      </c>
      <c r="B38" s="42" t="s">
        <v>18</v>
      </c>
      <c r="C38" s="42" t="s">
        <v>18</v>
      </c>
      <c r="D38" s="42">
        <v>6</v>
      </c>
      <c r="E38" s="64">
        <v>24</v>
      </c>
      <c r="F38" s="64">
        <v>14</v>
      </c>
      <c r="G38" s="64">
        <v>10</v>
      </c>
      <c r="H38" s="64">
        <v>6</v>
      </c>
      <c r="I38" s="64">
        <v>5</v>
      </c>
      <c r="J38" s="64">
        <v>10</v>
      </c>
      <c r="K38" s="64">
        <v>10</v>
      </c>
      <c r="L38" s="64">
        <v>10</v>
      </c>
      <c r="M38" s="64">
        <v>9</v>
      </c>
      <c r="N38" s="64">
        <v>10</v>
      </c>
      <c r="O38" s="64">
        <v>11</v>
      </c>
      <c r="P38" s="64">
        <v>10</v>
      </c>
      <c r="Q38" s="64">
        <v>10</v>
      </c>
      <c r="R38" s="64">
        <v>10</v>
      </c>
    </row>
    <row r="39" spans="1:18" x14ac:dyDescent="0.25">
      <c r="A39" s="56" t="s">
        <v>440</v>
      </c>
      <c r="B39" s="67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</row>
    <row r="40" spans="1:18" x14ac:dyDescent="0.25">
      <c r="A40" s="56" t="s">
        <v>441</v>
      </c>
      <c r="B40" s="67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</row>
    <row r="41" spans="1:18" x14ac:dyDescent="0.25">
      <c r="A41" s="56" t="s">
        <v>258</v>
      </c>
      <c r="B41" s="72"/>
      <c r="C41" s="70"/>
      <c r="D41" s="70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</row>
    <row r="42" spans="1:18" x14ac:dyDescent="0.25">
      <c r="A42" s="56" t="s">
        <v>442</v>
      </c>
      <c r="B42" s="70"/>
      <c r="C42" s="186"/>
      <c r="D42" s="186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</row>
    <row r="43" spans="1:18" x14ac:dyDescent="0.25">
      <c r="A43" s="57" t="s">
        <v>259</v>
      </c>
      <c r="B43" s="187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</row>
    <row r="44" spans="1:18" x14ac:dyDescent="0.25">
      <c r="B44" s="125"/>
    </row>
    <row r="45" spans="1:18" x14ac:dyDescent="0.25">
      <c r="B45" s="124"/>
    </row>
    <row r="46" spans="1:18" x14ac:dyDescent="0.25">
      <c r="B46" s="124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9B95-4D0A-4992-82D9-5C86A32CB558}">
  <dimension ref="A1:AQ45"/>
  <sheetViews>
    <sheetView workbookViewId="0"/>
  </sheetViews>
  <sheetFormatPr defaultColWidth="9.28515625" defaultRowHeight="15" x14ac:dyDescent="0.25"/>
  <cols>
    <col min="1" max="1" width="146.85546875" bestFit="1" customWidth="1"/>
    <col min="2" max="2" width="23.7109375" style="73" bestFit="1" customWidth="1"/>
    <col min="3" max="3" width="10.28515625" style="73" bestFit="1" customWidth="1"/>
    <col min="4" max="4" width="12.85546875" style="73" bestFit="1" customWidth="1"/>
    <col min="5" max="5" width="9.7109375" style="73" bestFit="1" customWidth="1"/>
    <col min="6" max="6" width="9.42578125" style="73" bestFit="1" customWidth="1"/>
    <col min="7" max="7" width="10.140625" style="73" bestFit="1" customWidth="1"/>
    <col min="8" max="8" width="12.5703125" style="73" bestFit="1" customWidth="1"/>
    <col min="9" max="9" width="13" style="73" bestFit="1" customWidth="1"/>
    <col min="10" max="10" width="6.7109375" customWidth="1"/>
  </cols>
  <sheetData>
    <row r="1" spans="1:15" x14ac:dyDescent="0.25">
      <c r="A1" s="59" t="s">
        <v>464</v>
      </c>
      <c r="B1" s="60"/>
      <c r="C1" s="62"/>
      <c r="D1" s="61"/>
      <c r="E1" s="61"/>
      <c r="F1" s="62"/>
      <c r="G1" s="61"/>
      <c r="H1" s="61"/>
      <c r="I1" s="128"/>
    </row>
    <row r="2" spans="1:15" s="59" customFormat="1" x14ac:dyDescent="0.25">
      <c r="B2" s="129"/>
      <c r="C2" s="129"/>
      <c r="D2" s="129"/>
      <c r="E2" s="129"/>
      <c r="F2" s="129"/>
      <c r="G2" s="129"/>
      <c r="H2" s="129"/>
      <c r="I2" s="129"/>
    </row>
    <row r="3" spans="1:15" s="75" customFormat="1" x14ac:dyDescent="0.25">
      <c r="A3" s="74" t="s">
        <v>464</v>
      </c>
      <c r="B3" s="74" t="s">
        <v>208</v>
      </c>
      <c r="C3" s="74" t="s">
        <v>465</v>
      </c>
      <c r="D3" s="74" t="s">
        <v>466</v>
      </c>
      <c r="E3" s="74" t="s">
        <v>467</v>
      </c>
      <c r="F3" s="74" t="s">
        <v>468</v>
      </c>
      <c r="G3" s="74" t="s">
        <v>469</v>
      </c>
      <c r="H3" s="74" t="s">
        <v>470</v>
      </c>
      <c r="I3" s="74" t="s">
        <v>471</v>
      </c>
    </row>
    <row r="4" spans="1:15" x14ac:dyDescent="0.25">
      <c r="A4" s="14" t="s">
        <v>213</v>
      </c>
      <c r="B4" s="42" t="s">
        <v>18</v>
      </c>
      <c r="C4" s="16" t="s">
        <v>6</v>
      </c>
      <c r="D4" s="16" t="s">
        <v>9</v>
      </c>
      <c r="E4" s="16" t="s">
        <v>6</v>
      </c>
      <c r="F4" s="16" t="s">
        <v>6</v>
      </c>
      <c r="G4" s="16" t="s">
        <v>6</v>
      </c>
      <c r="H4" s="16" t="s">
        <v>6</v>
      </c>
      <c r="I4" s="16" t="s">
        <v>6</v>
      </c>
    </row>
    <row r="5" spans="1:15" x14ac:dyDescent="0.25">
      <c r="A5" s="17" t="s">
        <v>214</v>
      </c>
      <c r="B5" s="79" t="s">
        <v>18</v>
      </c>
      <c r="C5" s="18">
        <v>159.80000000000001</v>
      </c>
      <c r="D5" s="18">
        <v>160.30000000000001</v>
      </c>
      <c r="E5" s="18">
        <v>160.34000000000003</v>
      </c>
      <c r="F5" s="18">
        <v>160.48000000000002</v>
      </c>
      <c r="G5" s="18">
        <v>45452</v>
      </c>
      <c r="H5" s="18">
        <v>45452</v>
      </c>
      <c r="I5" s="18">
        <v>164.83000000000175</v>
      </c>
      <c r="J5" s="130"/>
      <c r="K5" s="130"/>
      <c r="L5" s="130"/>
      <c r="M5" s="130"/>
      <c r="N5" s="130"/>
      <c r="O5" s="130"/>
    </row>
    <row r="6" spans="1:15" s="11" customFormat="1" x14ac:dyDescent="0.25">
      <c r="A6" s="19" t="s">
        <v>472</v>
      </c>
      <c r="B6" s="20"/>
      <c r="C6" s="20"/>
      <c r="D6" s="20"/>
      <c r="E6" s="20"/>
      <c r="F6" s="20"/>
      <c r="G6" s="20"/>
      <c r="H6" s="20"/>
      <c r="I6" s="20"/>
    </row>
    <row r="7" spans="1:15" s="11" customFormat="1" x14ac:dyDescent="0.25">
      <c r="A7" s="21" t="s">
        <v>473</v>
      </c>
      <c r="B7" s="22">
        <v>100</v>
      </c>
      <c r="C7" s="22">
        <v>98</v>
      </c>
      <c r="D7" s="22">
        <v>95</v>
      </c>
      <c r="E7" s="22">
        <v>100</v>
      </c>
      <c r="F7" s="22">
        <v>101</v>
      </c>
      <c r="G7" s="22">
        <v>101</v>
      </c>
      <c r="H7" s="22">
        <v>96</v>
      </c>
      <c r="I7" s="22">
        <v>103</v>
      </c>
    </row>
    <row r="8" spans="1:15" s="11" customFormat="1" x14ac:dyDescent="0.25">
      <c r="A8" s="24" t="s">
        <v>217</v>
      </c>
      <c r="B8" s="25">
        <f>65+8.2</f>
        <v>73.2</v>
      </c>
      <c r="C8" s="25">
        <f>65+8.3</f>
        <v>73.3</v>
      </c>
      <c r="D8" s="25">
        <f>65+8.3</f>
        <v>73.3</v>
      </c>
      <c r="E8" s="25">
        <f>65+7.8</f>
        <v>72.8</v>
      </c>
      <c r="F8" s="25">
        <f>65+7.2</f>
        <v>72.2</v>
      </c>
      <c r="G8" s="25">
        <f>65+7.90000000000001</f>
        <v>72.900000000000006</v>
      </c>
      <c r="H8" s="25">
        <f>65+9.09999999999999</f>
        <v>74.099999999999994</v>
      </c>
      <c r="I8" s="25">
        <f>65+9.2</f>
        <v>74.2</v>
      </c>
    </row>
    <row r="9" spans="1:15" s="11" customFormat="1" x14ac:dyDescent="0.25">
      <c r="A9" s="24" t="s">
        <v>474</v>
      </c>
      <c r="B9" s="22">
        <v>100</v>
      </c>
      <c r="C9" s="22">
        <v>98</v>
      </c>
      <c r="D9" s="22">
        <v>95</v>
      </c>
      <c r="E9" s="22">
        <v>99</v>
      </c>
      <c r="F9" s="22">
        <v>100</v>
      </c>
      <c r="G9" s="22">
        <v>100</v>
      </c>
      <c r="H9" s="22">
        <v>98</v>
      </c>
      <c r="I9" s="22">
        <v>104</v>
      </c>
    </row>
    <row r="10" spans="1:15" s="11" customFormat="1" x14ac:dyDescent="0.25">
      <c r="A10" s="26" t="s">
        <v>219</v>
      </c>
      <c r="B10" s="27">
        <v>75.5</v>
      </c>
      <c r="C10" s="27">
        <v>72.8</v>
      </c>
      <c r="D10" s="27">
        <v>79.400000000000006</v>
      </c>
      <c r="E10" s="27">
        <v>77.099999999999994</v>
      </c>
      <c r="F10" s="27">
        <v>74.400000000000006</v>
      </c>
      <c r="G10" s="27">
        <v>74.599999999999994</v>
      </c>
      <c r="H10" s="27">
        <v>78.7</v>
      </c>
      <c r="I10" s="27">
        <v>75.599999999999994</v>
      </c>
    </row>
    <row r="11" spans="1:15" s="11" customFormat="1" x14ac:dyDescent="0.25">
      <c r="A11" s="19" t="s">
        <v>220</v>
      </c>
      <c r="B11" s="20"/>
      <c r="C11" s="20"/>
      <c r="D11" s="20"/>
      <c r="E11" s="20"/>
      <c r="F11" s="20"/>
      <c r="G11" s="20"/>
      <c r="H11" s="20"/>
      <c r="I11" s="20"/>
    </row>
    <row r="12" spans="1:15" s="11" customFormat="1" x14ac:dyDescent="0.25">
      <c r="A12" s="21" t="s">
        <v>475</v>
      </c>
      <c r="B12" s="22">
        <v>100</v>
      </c>
      <c r="C12" s="22">
        <v>103</v>
      </c>
      <c r="D12" s="22">
        <v>99</v>
      </c>
      <c r="E12" s="22">
        <v>99</v>
      </c>
      <c r="F12" s="22">
        <v>102</v>
      </c>
      <c r="G12" s="22">
        <v>99</v>
      </c>
      <c r="H12" s="22">
        <v>100</v>
      </c>
      <c r="I12" s="22">
        <v>97</v>
      </c>
    </row>
    <row r="13" spans="1:15" s="11" customFormat="1" x14ac:dyDescent="0.25">
      <c r="A13" s="26" t="s">
        <v>476</v>
      </c>
      <c r="B13" s="27">
        <v>100</v>
      </c>
      <c r="C13" s="27">
        <v>103</v>
      </c>
      <c r="D13" s="27">
        <v>100</v>
      </c>
      <c r="E13" s="27">
        <v>99</v>
      </c>
      <c r="F13" s="27">
        <v>102</v>
      </c>
      <c r="G13" s="27">
        <v>97</v>
      </c>
      <c r="H13" s="27">
        <v>101</v>
      </c>
      <c r="I13" s="27">
        <v>98</v>
      </c>
    </row>
    <row r="14" spans="1:15" s="11" customFormat="1" x14ac:dyDescent="0.25">
      <c r="A14" s="21" t="s">
        <v>477</v>
      </c>
      <c r="B14" s="22">
        <v>100</v>
      </c>
      <c r="C14" s="22">
        <v>101</v>
      </c>
      <c r="D14" s="22">
        <v>97</v>
      </c>
      <c r="E14" s="22">
        <v>100</v>
      </c>
      <c r="F14" s="22">
        <v>100</v>
      </c>
      <c r="G14" s="22">
        <v>99</v>
      </c>
      <c r="H14" s="22">
        <v>99</v>
      </c>
      <c r="I14" s="22">
        <v>100</v>
      </c>
    </row>
    <row r="15" spans="1:15" s="11" customFormat="1" x14ac:dyDescent="0.25">
      <c r="A15" s="24" t="s">
        <v>478</v>
      </c>
      <c r="B15" s="22">
        <v>100</v>
      </c>
      <c r="C15" s="27">
        <v>102.09090909090909</v>
      </c>
      <c r="D15" s="27">
        <v>98.090909090909093</v>
      </c>
      <c r="E15" s="27">
        <v>99.454545454545453</v>
      </c>
      <c r="F15" s="27">
        <v>101.09090909090909</v>
      </c>
      <c r="G15" s="27">
        <v>99</v>
      </c>
      <c r="H15" s="27">
        <v>99.545454545454547</v>
      </c>
      <c r="I15" s="27">
        <v>98.36363636363636</v>
      </c>
    </row>
    <row r="16" spans="1:15" s="11" customFormat="1" x14ac:dyDescent="0.25">
      <c r="A16" s="26" t="s">
        <v>225</v>
      </c>
      <c r="B16" s="27">
        <v>76.400000000000006</v>
      </c>
      <c r="C16" s="27">
        <v>77.7</v>
      </c>
      <c r="D16" s="27">
        <v>80.3</v>
      </c>
      <c r="E16" s="27">
        <v>77.400000000000006</v>
      </c>
      <c r="F16" s="27">
        <v>74.099999999999994</v>
      </c>
      <c r="G16" s="27">
        <v>76</v>
      </c>
      <c r="H16" s="27">
        <v>79.599999999999994</v>
      </c>
      <c r="I16" s="27">
        <v>73.900000000000006</v>
      </c>
    </row>
    <row r="17" spans="1:43" s="133" customFormat="1" x14ac:dyDescent="0.25">
      <c r="A17" s="19" t="s">
        <v>226</v>
      </c>
      <c r="B17" s="20"/>
      <c r="C17" s="20"/>
      <c r="D17" s="20"/>
      <c r="E17" s="20"/>
      <c r="F17" s="20"/>
      <c r="G17" s="20"/>
      <c r="H17" s="20"/>
      <c r="I17" s="20"/>
      <c r="J17" s="11"/>
      <c r="K17" s="11"/>
      <c r="L17" s="1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2"/>
    </row>
    <row r="18" spans="1:43" s="11" customFormat="1" x14ac:dyDescent="0.25">
      <c r="A18" s="21" t="s">
        <v>479</v>
      </c>
      <c r="B18" s="22">
        <v>100</v>
      </c>
      <c r="C18" s="22">
        <v>99</v>
      </c>
      <c r="D18" s="22">
        <v>81</v>
      </c>
      <c r="E18" s="22">
        <v>98</v>
      </c>
      <c r="F18" s="22">
        <v>104</v>
      </c>
      <c r="G18" s="22">
        <v>94</v>
      </c>
      <c r="H18" s="22">
        <v>90</v>
      </c>
      <c r="I18" s="22">
        <v>115</v>
      </c>
    </row>
    <row r="19" spans="1:43" s="11" customFormat="1" x14ac:dyDescent="0.25">
      <c r="A19" s="21" t="s">
        <v>480</v>
      </c>
      <c r="B19" s="22">
        <v>100</v>
      </c>
      <c r="C19" s="22">
        <v>98</v>
      </c>
      <c r="D19" s="22">
        <v>92</v>
      </c>
      <c r="E19" s="22">
        <v>94</v>
      </c>
      <c r="F19" s="22">
        <v>103</v>
      </c>
      <c r="G19" s="22">
        <v>102</v>
      </c>
      <c r="H19" s="22">
        <v>96</v>
      </c>
      <c r="I19" s="22">
        <v>107</v>
      </c>
    </row>
    <row r="20" spans="1:43" s="11" customFormat="1" x14ac:dyDescent="0.25">
      <c r="A20" s="21" t="s">
        <v>481</v>
      </c>
      <c r="B20" s="22">
        <v>100</v>
      </c>
      <c r="C20" s="22">
        <v>98</v>
      </c>
      <c r="D20" s="22">
        <v>98</v>
      </c>
      <c r="E20" s="22">
        <v>105</v>
      </c>
      <c r="F20" s="22">
        <v>100</v>
      </c>
      <c r="G20" s="22">
        <v>101</v>
      </c>
      <c r="H20" s="22">
        <v>96</v>
      </c>
      <c r="I20" s="22">
        <v>98</v>
      </c>
    </row>
    <row r="21" spans="1:43" s="11" customFormat="1" x14ac:dyDescent="0.25">
      <c r="A21" s="21" t="s">
        <v>482</v>
      </c>
      <c r="B21" s="22">
        <v>100</v>
      </c>
      <c r="C21" s="22">
        <v>98</v>
      </c>
      <c r="D21" s="22">
        <v>95</v>
      </c>
      <c r="E21" s="22">
        <v>99</v>
      </c>
      <c r="F21" s="22">
        <v>99</v>
      </c>
      <c r="G21" s="22">
        <v>101</v>
      </c>
      <c r="H21" s="22">
        <v>99</v>
      </c>
      <c r="I21" s="22">
        <v>105</v>
      </c>
    </row>
    <row r="22" spans="1:43" s="11" customFormat="1" x14ac:dyDescent="0.25">
      <c r="A22" s="21" t="s">
        <v>483</v>
      </c>
      <c r="B22" s="22">
        <v>100</v>
      </c>
      <c r="C22" s="22">
        <v>99</v>
      </c>
      <c r="D22" s="22">
        <v>92</v>
      </c>
      <c r="E22" s="22">
        <v>98</v>
      </c>
      <c r="F22" s="22">
        <v>103</v>
      </c>
      <c r="G22" s="22">
        <v>98</v>
      </c>
      <c r="H22" s="22">
        <v>95</v>
      </c>
      <c r="I22" s="22">
        <v>106</v>
      </c>
    </row>
    <row r="23" spans="1:43" s="136" customFormat="1" ht="12.75" x14ac:dyDescent="0.25">
      <c r="A23" s="32" t="s">
        <v>232</v>
      </c>
      <c r="B23" s="22"/>
      <c r="C23" s="22"/>
      <c r="D23" s="22"/>
      <c r="E23" s="22"/>
      <c r="F23" s="22"/>
      <c r="G23" s="22"/>
      <c r="H23" s="22"/>
      <c r="I23" s="22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5"/>
    </row>
    <row r="24" spans="1:43" s="11" customFormat="1" x14ac:dyDescent="0.25">
      <c r="A24" s="21" t="s">
        <v>484</v>
      </c>
      <c r="B24" s="22">
        <v>100</v>
      </c>
      <c r="C24" s="22">
        <v>107</v>
      </c>
      <c r="D24" s="22">
        <v>98</v>
      </c>
      <c r="E24" s="22">
        <v>98</v>
      </c>
      <c r="F24" s="22">
        <v>100</v>
      </c>
      <c r="G24" s="22">
        <v>96</v>
      </c>
      <c r="H24" s="22">
        <v>102</v>
      </c>
      <c r="I24" s="22">
        <v>97</v>
      </c>
    </row>
    <row r="25" spans="1:43" s="11" customFormat="1" x14ac:dyDescent="0.25">
      <c r="A25" s="24" t="s">
        <v>286</v>
      </c>
      <c r="B25" s="25">
        <f>65+2.1</f>
        <v>67.099999999999994</v>
      </c>
      <c r="C25" s="25">
        <f>65+1.5</f>
        <v>66.5</v>
      </c>
      <c r="D25" s="25">
        <f>65+2.7</f>
        <v>67.7</v>
      </c>
      <c r="E25" s="25">
        <f>65+2</f>
        <v>67</v>
      </c>
      <c r="F25" s="25">
        <f>65+2</f>
        <v>67</v>
      </c>
      <c r="G25" s="25">
        <f>65+1</f>
        <v>66</v>
      </c>
      <c r="H25" s="25">
        <f>65+2.09999999999999</f>
        <v>67.099999999999994</v>
      </c>
      <c r="I25" s="25">
        <f>65+4.09999999999999</f>
        <v>69.099999999999994</v>
      </c>
    </row>
    <row r="26" spans="1:43" s="11" customFormat="1" x14ac:dyDescent="0.25">
      <c r="A26" s="21" t="s">
        <v>485</v>
      </c>
      <c r="B26" s="22">
        <v>100</v>
      </c>
      <c r="C26" s="22">
        <v>99</v>
      </c>
      <c r="D26" s="22">
        <v>101</v>
      </c>
      <c r="E26" s="22">
        <v>101</v>
      </c>
      <c r="F26" s="22">
        <v>105</v>
      </c>
      <c r="G26" s="22">
        <v>102</v>
      </c>
      <c r="H26" s="22">
        <v>98</v>
      </c>
      <c r="I26" s="22">
        <v>95</v>
      </c>
    </row>
    <row r="27" spans="1:43" s="11" customFormat="1" x14ac:dyDescent="0.25">
      <c r="A27" s="24" t="s">
        <v>307</v>
      </c>
      <c r="B27" s="25">
        <f>65+1.6</f>
        <v>66.599999999999994</v>
      </c>
      <c r="C27" s="25">
        <f>65+0.900000000000006</f>
        <v>65.900000000000006</v>
      </c>
      <c r="D27" s="25">
        <f>65+2.3</f>
        <v>67.3</v>
      </c>
      <c r="E27" s="25">
        <f>65+1.40000000000001</f>
        <v>66.400000000000006</v>
      </c>
      <c r="F27" s="25">
        <f>65+0.599999999999994</f>
        <v>65.599999999999994</v>
      </c>
      <c r="G27" s="25">
        <f>65+0.400000000000006</f>
        <v>65.400000000000006</v>
      </c>
      <c r="H27" s="25">
        <f>65+2.8</f>
        <v>67.8</v>
      </c>
      <c r="I27" s="25">
        <f>65+3.3</f>
        <v>68.3</v>
      </c>
      <c r="J27" s="68"/>
    </row>
    <row r="28" spans="1:43" s="11" customFormat="1" x14ac:dyDescent="0.25">
      <c r="A28" s="21" t="s">
        <v>486</v>
      </c>
      <c r="B28" s="22">
        <v>100</v>
      </c>
      <c r="C28" s="22">
        <v>101</v>
      </c>
      <c r="D28" s="22">
        <v>98</v>
      </c>
      <c r="E28" s="22">
        <v>102</v>
      </c>
      <c r="F28" s="22">
        <v>105</v>
      </c>
      <c r="G28" s="22">
        <v>98</v>
      </c>
      <c r="H28" s="22">
        <v>97</v>
      </c>
      <c r="I28" s="22">
        <v>97</v>
      </c>
    </row>
    <row r="29" spans="1:43" s="11" customFormat="1" x14ac:dyDescent="0.25">
      <c r="A29" s="21" t="s">
        <v>487</v>
      </c>
      <c r="B29" s="22">
        <v>100</v>
      </c>
      <c r="C29" s="22">
        <v>99</v>
      </c>
      <c r="D29" s="22">
        <v>96</v>
      </c>
      <c r="E29" s="22">
        <v>95</v>
      </c>
      <c r="F29" s="22">
        <v>103</v>
      </c>
      <c r="G29" s="22">
        <v>101</v>
      </c>
      <c r="H29" s="22">
        <v>101</v>
      </c>
      <c r="I29" s="22">
        <v>101</v>
      </c>
    </row>
    <row r="30" spans="1:43" s="11" customFormat="1" x14ac:dyDescent="0.25">
      <c r="A30" s="38" t="s">
        <v>239</v>
      </c>
      <c r="B30" s="25"/>
      <c r="C30" s="25"/>
      <c r="D30" s="25"/>
      <c r="E30" s="25"/>
      <c r="F30" s="25"/>
      <c r="G30" s="25"/>
      <c r="H30" s="25"/>
      <c r="I30" s="25"/>
    </row>
    <row r="31" spans="1:43" s="11" customFormat="1" x14ac:dyDescent="0.25">
      <c r="A31" s="39" t="s">
        <v>240</v>
      </c>
      <c r="B31" s="25">
        <v>7</v>
      </c>
      <c r="C31" s="25">
        <v>7.1</v>
      </c>
      <c r="D31" s="25">
        <v>6.6</v>
      </c>
      <c r="E31" s="25">
        <v>6.9</v>
      </c>
      <c r="F31" s="25">
        <v>7.3</v>
      </c>
      <c r="G31" s="25">
        <v>6.6</v>
      </c>
      <c r="H31" s="25">
        <v>6.7</v>
      </c>
      <c r="I31" s="41">
        <v>7</v>
      </c>
    </row>
    <row r="32" spans="1:43" s="11" customFormat="1" x14ac:dyDescent="0.25">
      <c r="A32" s="38" t="s">
        <v>245</v>
      </c>
      <c r="B32" s="25"/>
      <c r="C32" s="25"/>
      <c r="D32" s="25"/>
      <c r="E32" s="25"/>
      <c r="F32" s="25"/>
      <c r="G32" s="25"/>
      <c r="H32" s="25"/>
      <c r="I32" s="41"/>
    </row>
    <row r="33" spans="1:43" s="11" customFormat="1" x14ac:dyDescent="0.25">
      <c r="A33" s="39" t="s">
        <v>246</v>
      </c>
      <c r="B33" s="43" t="s">
        <v>18</v>
      </c>
      <c r="C33" s="20">
        <v>2005</v>
      </c>
      <c r="D33" s="20">
        <v>1990</v>
      </c>
      <c r="E33" s="20">
        <v>2001</v>
      </c>
      <c r="F33" s="20">
        <v>2003</v>
      </c>
      <c r="G33" s="20">
        <v>1989</v>
      </c>
      <c r="H33" s="20">
        <v>2003</v>
      </c>
      <c r="I33" s="43">
        <v>2020</v>
      </c>
    </row>
    <row r="34" spans="1:43" s="11" customFormat="1" x14ac:dyDescent="0.25">
      <c r="A34" s="39" t="s">
        <v>247</v>
      </c>
      <c r="B34" s="43" t="s">
        <v>18</v>
      </c>
      <c r="C34" s="44" t="s">
        <v>159</v>
      </c>
      <c r="D34" s="184" t="s">
        <v>156</v>
      </c>
      <c r="E34" s="44" t="s">
        <v>416</v>
      </c>
      <c r="F34" s="44" t="s">
        <v>416</v>
      </c>
      <c r="G34" s="44" t="s">
        <v>156</v>
      </c>
      <c r="H34" s="44" t="s">
        <v>156</v>
      </c>
      <c r="I34" s="44" t="s">
        <v>249</v>
      </c>
    </row>
    <row r="35" spans="1:43" s="11" customFormat="1" x14ac:dyDescent="0.25">
      <c r="A35" s="39" t="s">
        <v>248</v>
      </c>
      <c r="B35" s="43" t="s">
        <v>18</v>
      </c>
      <c r="C35" s="44" t="s">
        <v>159</v>
      </c>
      <c r="D35" s="44" t="s">
        <v>156</v>
      </c>
      <c r="E35" s="44" t="s">
        <v>289</v>
      </c>
      <c r="F35" s="44" t="s">
        <v>156</v>
      </c>
      <c r="G35" s="44" t="s">
        <v>289</v>
      </c>
      <c r="H35" s="44" t="s">
        <v>156</v>
      </c>
      <c r="I35" s="44" t="s">
        <v>249</v>
      </c>
    </row>
    <row r="36" spans="1:43" s="138" customFormat="1" x14ac:dyDescent="0.25">
      <c r="A36" s="19" t="s">
        <v>250</v>
      </c>
      <c r="B36" s="20"/>
      <c r="C36" s="20"/>
      <c r="D36" s="20"/>
      <c r="E36" s="20"/>
      <c r="F36" s="20"/>
      <c r="G36" s="20"/>
      <c r="H36" s="20"/>
      <c r="I36" s="20"/>
      <c r="J36" s="1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7"/>
    </row>
    <row r="37" spans="1:43" s="11" customFormat="1" x14ac:dyDescent="0.25">
      <c r="A37" s="39" t="s">
        <v>251</v>
      </c>
      <c r="B37" s="43" t="s">
        <v>18</v>
      </c>
      <c r="C37" s="20">
        <v>12</v>
      </c>
      <c r="D37" s="20">
        <v>12</v>
      </c>
      <c r="E37" s="20">
        <v>12</v>
      </c>
      <c r="F37" s="20">
        <v>12</v>
      </c>
      <c r="G37" s="20">
        <v>12</v>
      </c>
      <c r="H37" s="20">
        <v>12</v>
      </c>
      <c r="I37" s="20">
        <v>12</v>
      </c>
    </row>
    <row r="38" spans="1:43" s="11" customFormat="1" x14ac:dyDescent="0.25">
      <c r="A38" s="39" t="s">
        <v>252</v>
      </c>
      <c r="B38" s="43" t="s">
        <v>18</v>
      </c>
      <c r="C38" s="20">
        <v>11</v>
      </c>
      <c r="D38" s="20">
        <v>11</v>
      </c>
      <c r="E38" s="20">
        <v>11</v>
      </c>
      <c r="F38" s="20">
        <v>11</v>
      </c>
      <c r="G38" s="20">
        <v>11</v>
      </c>
      <c r="H38" s="20">
        <v>11</v>
      </c>
      <c r="I38" s="20">
        <v>11</v>
      </c>
    </row>
    <row r="39" spans="1:43" s="11" customFormat="1" x14ac:dyDescent="0.25">
      <c r="A39" s="39" t="s">
        <v>253</v>
      </c>
      <c r="B39" s="43" t="s">
        <v>18</v>
      </c>
      <c r="C39" s="20">
        <v>10</v>
      </c>
      <c r="D39" s="20">
        <v>10</v>
      </c>
      <c r="E39" s="20">
        <v>10</v>
      </c>
      <c r="F39" s="20">
        <v>10</v>
      </c>
      <c r="G39" s="20">
        <v>10</v>
      </c>
      <c r="H39" s="20">
        <v>10</v>
      </c>
      <c r="I39" s="20">
        <v>10</v>
      </c>
    </row>
    <row r="40" spans="1:43" x14ac:dyDescent="0.25">
      <c r="A40" s="56" t="s">
        <v>488</v>
      </c>
      <c r="B40" s="67"/>
      <c r="C40" s="70"/>
      <c r="D40" s="70"/>
      <c r="E40" s="72"/>
      <c r="F40" s="70"/>
      <c r="G40" s="72"/>
      <c r="H40" s="72"/>
      <c r="I40" s="72"/>
    </row>
    <row r="41" spans="1:43" x14ac:dyDescent="0.25">
      <c r="A41" s="56" t="s">
        <v>256</v>
      </c>
      <c r="B41" s="67"/>
      <c r="C41" s="70"/>
      <c r="D41" s="70"/>
      <c r="E41" s="72"/>
      <c r="F41" s="70"/>
      <c r="G41" s="72"/>
      <c r="H41" s="72"/>
      <c r="I41" s="72"/>
    </row>
    <row r="42" spans="1:43" x14ac:dyDescent="0.25">
      <c r="A42" s="56" t="s">
        <v>257</v>
      </c>
      <c r="B42" s="67"/>
      <c r="C42" s="70"/>
      <c r="D42" s="70"/>
      <c r="E42" s="72"/>
      <c r="F42" s="70"/>
      <c r="G42" s="72"/>
      <c r="H42" s="72"/>
      <c r="I42" s="72"/>
    </row>
    <row r="43" spans="1:43" x14ac:dyDescent="0.25">
      <c r="A43" s="55" t="s">
        <v>258</v>
      </c>
      <c r="B43" s="102"/>
      <c r="C43" s="70"/>
      <c r="D43" s="70"/>
      <c r="E43" s="70"/>
      <c r="F43" s="70"/>
      <c r="G43" s="70"/>
      <c r="H43" s="70"/>
      <c r="I43" s="70"/>
    </row>
    <row r="44" spans="1:43" x14ac:dyDescent="0.25">
      <c r="A44" s="55" t="s">
        <v>489</v>
      </c>
      <c r="B44" s="70"/>
      <c r="C44" s="186"/>
      <c r="D44" s="70"/>
      <c r="E44" s="70"/>
      <c r="F44" s="70"/>
      <c r="G44" s="70"/>
      <c r="H44" s="70"/>
      <c r="I44" s="70"/>
    </row>
    <row r="45" spans="1:43" x14ac:dyDescent="0.25">
      <c r="C45" s="139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4F54-7190-4147-B7A1-0795428E8F26}">
  <dimension ref="A1:AR1136"/>
  <sheetViews>
    <sheetView workbookViewId="0"/>
  </sheetViews>
  <sheetFormatPr defaultColWidth="9.28515625" defaultRowHeight="12.75" x14ac:dyDescent="0.2"/>
  <cols>
    <col min="1" max="1" width="87.42578125" style="155" bestFit="1" customWidth="1"/>
    <col min="2" max="2" width="12.42578125" style="88" bestFit="1" customWidth="1"/>
    <col min="3" max="3" width="23.28515625" style="78" bestFit="1" customWidth="1"/>
    <col min="4" max="4" width="21.42578125" style="88" bestFit="1" customWidth="1"/>
    <col min="5" max="5" width="10.85546875" style="88" bestFit="1" customWidth="1"/>
    <col min="6" max="6" width="15.140625" style="88" bestFit="1" customWidth="1"/>
    <col min="7" max="7" width="8.140625" style="88" bestFit="1" customWidth="1"/>
    <col min="8" max="8" width="10.140625" style="88" bestFit="1" customWidth="1"/>
    <col min="9" max="9" width="14.140625" style="88" bestFit="1" customWidth="1"/>
    <col min="10" max="10" width="12.140625" style="88" bestFit="1" customWidth="1"/>
    <col min="11" max="11" width="14.28515625" style="78" bestFit="1" customWidth="1"/>
    <col min="12" max="12" width="9.28515625" style="88"/>
    <col min="13" max="13" width="9.5703125" style="78" bestFit="1" customWidth="1"/>
    <col min="14" max="14" width="13.7109375" style="88" bestFit="1" customWidth="1"/>
    <col min="15" max="15" width="10.140625" style="88" bestFit="1" customWidth="1"/>
    <col min="16" max="16" width="12" style="157" bestFit="1" customWidth="1"/>
    <col min="17" max="17" width="21.42578125" style="157" bestFit="1" customWidth="1"/>
    <col min="18" max="18" width="21.42578125" style="88" bestFit="1" customWidth="1"/>
    <col min="19" max="19" width="9.140625" style="88" bestFit="1" customWidth="1"/>
    <col min="20" max="20" width="11.42578125" style="88" bestFit="1" customWidth="1"/>
    <col min="21" max="21" width="3.5703125" style="158" customWidth="1"/>
    <col min="22" max="16384" width="9.28515625" style="88"/>
  </cols>
  <sheetData>
    <row r="1" spans="1:44" ht="15" x14ac:dyDescent="0.2">
      <c r="A1" s="140" t="s">
        <v>490</v>
      </c>
      <c r="J1" s="78"/>
      <c r="K1" s="88"/>
      <c r="L1" s="78"/>
      <c r="M1" s="88"/>
      <c r="O1" s="141"/>
      <c r="P1" s="141"/>
      <c r="Q1" s="88"/>
      <c r="T1" s="78"/>
      <c r="U1" s="88"/>
    </row>
    <row r="2" spans="1:44" ht="15" x14ac:dyDescent="0.2">
      <c r="A2" s="140"/>
      <c r="B2" s="123"/>
      <c r="C2" s="142"/>
      <c r="D2" s="123"/>
      <c r="E2" s="123"/>
      <c r="F2" s="123"/>
      <c r="G2" s="123"/>
      <c r="H2" s="123"/>
      <c r="I2" s="123"/>
      <c r="J2" s="123"/>
      <c r="K2" s="142"/>
      <c r="L2" s="123"/>
      <c r="M2" s="142"/>
      <c r="N2" s="123"/>
      <c r="O2" s="123"/>
      <c r="P2" s="143"/>
      <c r="Q2" s="143"/>
      <c r="R2" s="123"/>
      <c r="S2" s="123"/>
      <c r="T2" s="123"/>
      <c r="U2" s="142"/>
    </row>
    <row r="3" spans="1:44" s="160" customFormat="1" ht="15" x14ac:dyDescent="0.2">
      <c r="A3" s="159" t="s">
        <v>490</v>
      </c>
      <c r="B3" s="159" t="s">
        <v>491</v>
      </c>
      <c r="C3" s="159" t="s">
        <v>492</v>
      </c>
      <c r="D3" s="159" t="s">
        <v>493</v>
      </c>
      <c r="E3" s="159" t="s">
        <v>494</v>
      </c>
      <c r="F3" s="159" t="s">
        <v>495</v>
      </c>
      <c r="G3" s="159" t="s">
        <v>496</v>
      </c>
      <c r="H3" s="159" t="s">
        <v>497</v>
      </c>
      <c r="I3" s="159" t="s">
        <v>498</v>
      </c>
      <c r="J3" s="159" t="s">
        <v>499</v>
      </c>
      <c r="K3" s="159" t="s">
        <v>500</v>
      </c>
      <c r="L3" s="159" t="s">
        <v>501</v>
      </c>
      <c r="M3" s="159" t="s">
        <v>502</v>
      </c>
      <c r="N3" s="159" t="s">
        <v>503</v>
      </c>
      <c r="O3" s="159" t="s">
        <v>504</v>
      </c>
      <c r="P3" s="159" t="s">
        <v>505</v>
      </c>
      <c r="Q3" s="159" t="s">
        <v>506</v>
      </c>
      <c r="R3" s="159" t="s">
        <v>507</v>
      </c>
      <c r="S3" s="159" t="s">
        <v>508</v>
      </c>
      <c r="T3" s="159" t="s">
        <v>509</v>
      </c>
    </row>
    <row r="4" spans="1:44" x14ac:dyDescent="0.2">
      <c r="A4" s="14" t="s">
        <v>213</v>
      </c>
      <c r="B4" s="144" t="s">
        <v>6</v>
      </c>
      <c r="C4" s="144" t="s">
        <v>6</v>
      </c>
      <c r="D4" s="144" t="s">
        <v>6</v>
      </c>
      <c r="E4" s="144" t="s">
        <v>6</v>
      </c>
      <c r="F4" s="144" t="s">
        <v>6</v>
      </c>
      <c r="G4" s="144" t="s">
        <v>6</v>
      </c>
      <c r="H4" s="144" t="s">
        <v>6</v>
      </c>
      <c r="I4" s="144" t="s">
        <v>6</v>
      </c>
      <c r="J4" s="144" t="s">
        <v>12</v>
      </c>
      <c r="K4" s="144" t="s">
        <v>6</v>
      </c>
      <c r="L4" s="144" t="s">
        <v>12</v>
      </c>
      <c r="M4" s="144" t="s">
        <v>6</v>
      </c>
      <c r="N4" s="144" t="s">
        <v>6</v>
      </c>
      <c r="O4" s="144" t="s">
        <v>12</v>
      </c>
      <c r="P4" s="144" t="s">
        <v>12</v>
      </c>
      <c r="Q4" s="144" t="s">
        <v>12</v>
      </c>
      <c r="R4" s="144" t="s">
        <v>6</v>
      </c>
      <c r="S4" s="144" t="s">
        <v>6</v>
      </c>
      <c r="T4" s="144" t="s">
        <v>6</v>
      </c>
      <c r="U4" s="88"/>
    </row>
    <row r="5" spans="1:44" s="145" customFormat="1" x14ac:dyDescent="0.25">
      <c r="A5" s="17" t="s">
        <v>510</v>
      </c>
      <c r="B5" s="27">
        <v>397.79899999999998</v>
      </c>
      <c r="C5" s="27">
        <v>526.14</v>
      </c>
      <c r="D5" s="27">
        <v>657.27599999999995</v>
      </c>
      <c r="E5" s="27">
        <v>662.62599999999998</v>
      </c>
      <c r="F5" s="27">
        <v>675.95799999999997</v>
      </c>
      <c r="G5" s="27">
        <v>699.024</v>
      </c>
      <c r="H5" s="27">
        <v>789.71500000000003</v>
      </c>
      <c r="I5" s="27">
        <v>824.08399999999995</v>
      </c>
      <c r="J5" s="27">
        <v>867.78200000000004</v>
      </c>
      <c r="K5" s="27">
        <v>878.73500000000001</v>
      </c>
      <c r="L5" s="27">
        <v>889.93899999999996</v>
      </c>
      <c r="M5" s="27">
        <v>908.82399999999996</v>
      </c>
      <c r="N5" s="27">
        <v>926.26700000000005</v>
      </c>
      <c r="O5" s="27">
        <v>948.05200000000002</v>
      </c>
      <c r="P5" s="27">
        <v>951.67100000000005</v>
      </c>
      <c r="Q5" s="27">
        <v>1001.377</v>
      </c>
      <c r="R5" s="27">
        <v>1150.097</v>
      </c>
      <c r="S5" s="27">
        <v>1187.7439999999999</v>
      </c>
      <c r="T5" s="27">
        <v>1269.2550000000001</v>
      </c>
    </row>
    <row r="6" spans="1:44" s="92" customFormat="1" x14ac:dyDescent="0.25">
      <c r="A6" s="14" t="s">
        <v>511</v>
      </c>
      <c r="B6" s="146"/>
      <c r="C6" s="146"/>
      <c r="D6" s="146"/>
      <c r="E6" s="146"/>
      <c r="F6" s="146"/>
      <c r="G6" s="146"/>
      <c r="H6" s="146"/>
      <c r="I6" s="64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</row>
    <row r="7" spans="1:44" s="92" customFormat="1" x14ac:dyDescent="0.25">
      <c r="A7" s="147" t="s">
        <v>512</v>
      </c>
      <c r="B7" s="148">
        <v>79.556254351878891</v>
      </c>
      <c r="C7" s="148">
        <v>82.54282248826398</v>
      </c>
      <c r="D7" s="148">
        <v>89.486219986073991</v>
      </c>
      <c r="E7" s="148">
        <v>98.207160665753264</v>
      </c>
      <c r="F7" s="148">
        <v>99.621212461535009</v>
      </c>
      <c r="G7" s="148">
        <v>93.750117921879578</v>
      </c>
      <c r="H7" s="148">
        <v>106.64722265896991</v>
      </c>
      <c r="I7" s="148">
        <v>108.31778261943803</v>
      </c>
      <c r="J7" s="148">
        <v>111.7980503582579</v>
      </c>
      <c r="K7" s="148">
        <v>103.34505065025495</v>
      </c>
      <c r="L7" s="148">
        <v>105.37849554142988</v>
      </c>
      <c r="M7" s="148">
        <v>110.29976864850299</v>
      </c>
      <c r="N7" s="148">
        <v>104.79548976887314</v>
      </c>
      <c r="O7" s="148">
        <v>125.10051436400799</v>
      </c>
      <c r="P7" s="148">
        <v>114.4190157453786</v>
      </c>
      <c r="Q7" s="148">
        <v>106.25603647716805</v>
      </c>
      <c r="R7" s="148">
        <v>109.3065295029312</v>
      </c>
      <c r="S7" s="148">
        <v>110.10076143842234</v>
      </c>
      <c r="T7" s="148">
        <v>109.20745266278836</v>
      </c>
    </row>
    <row r="8" spans="1:44" s="92" customFormat="1" x14ac:dyDescent="0.25">
      <c r="A8" s="149" t="s">
        <v>513</v>
      </c>
      <c r="B8" s="148">
        <v>92.929845683501028</v>
      </c>
      <c r="C8" s="148">
        <v>97.908471671632341</v>
      </c>
      <c r="D8" s="148">
        <v>94.657588035546596</v>
      </c>
      <c r="E8" s="148">
        <v>99.10998535417653</v>
      </c>
      <c r="F8" s="148">
        <v>99.173425893665694</v>
      </c>
      <c r="G8" s="148">
        <v>97.719428809839869</v>
      </c>
      <c r="H8" s="148">
        <v>100</v>
      </c>
      <c r="I8" s="148">
        <v>103.59984212429494</v>
      </c>
      <c r="J8" s="148">
        <v>103.53500104178073</v>
      </c>
      <c r="K8" s="148">
        <v>100.7660361415202</v>
      </c>
      <c r="L8" s="148">
        <v>100.57425308685266</v>
      </c>
      <c r="M8" s="148">
        <v>105.03148126403272</v>
      </c>
      <c r="N8" s="148">
        <v>100.70208815890602</v>
      </c>
      <c r="O8" s="148">
        <v>106.27580284860305</v>
      </c>
      <c r="P8" s="148">
        <v>104.18432526454788</v>
      </c>
      <c r="Q8" s="148">
        <v>103.47018025699153</v>
      </c>
      <c r="R8" s="148">
        <v>99.300367865819055</v>
      </c>
      <c r="S8" s="148">
        <v>102.50030421215345</v>
      </c>
      <c r="T8" s="148">
        <v>101.79196435394726</v>
      </c>
    </row>
    <row r="9" spans="1:44" s="92" customFormat="1" x14ac:dyDescent="0.25">
      <c r="A9" s="149" t="s">
        <v>514</v>
      </c>
      <c r="B9" s="148">
        <v>38.681329338288258</v>
      </c>
      <c r="C9" s="148">
        <v>38.092661981110446</v>
      </c>
      <c r="D9" s="148">
        <v>42.715255503534081</v>
      </c>
      <c r="E9" s="148">
        <v>44.772157440000008</v>
      </c>
      <c r="F9" s="148">
        <v>45.387763823445979</v>
      </c>
      <c r="G9" s="148">
        <v>43.34841096985037</v>
      </c>
      <c r="H9" s="148">
        <v>48.187215254633429</v>
      </c>
      <c r="I9" s="148">
        <v>47.241420353104552</v>
      </c>
      <c r="J9" s="148">
        <v>48.789831356460866</v>
      </c>
      <c r="K9" s="148">
        <v>46.340187500988293</v>
      </c>
      <c r="L9" s="148">
        <v>47.342093324012005</v>
      </c>
      <c r="M9" s="148">
        <v>47.450128219015227</v>
      </c>
      <c r="N9" s="148">
        <v>47.020408163265316</v>
      </c>
      <c r="O9" s="148">
        <v>53.187181904440294</v>
      </c>
      <c r="P9" s="148">
        <v>49.622438633979691</v>
      </c>
      <c r="Q9" s="148">
        <v>46.400288997355524</v>
      </c>
      <c r="R9" s="148">
        <v>49.73676421530471</v>
      </c>
      <c r="S9" s="148">
        <v>48.534152157631866</v>
      </c>
      <c r="T9" s="148">
        <v>48.47536199054646</v>
      </c>
    </row>
    <row r="10" spans="1:44" s="100" customFormat="1" x14ac:dyDescent="0.25">
      <c r="A10" s="150" t="s">
        <v>515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</row>
    <row r="11" spans="1:44" s="92" customFormat="1" x14ac:dyDescent="0.25">
      <c r="A11" s="147" t="s">
        <v>516</v>
      </c>
      <c r="B11" s="148">
        <v>71.416852239415192</v>
      </c>
      <c r="C11" s="148">
        <v>74.22758075030282</v>
      </c>
      <c r="D11" s="148">
        <v>93.62031484545787</v>
      </c>
      <c r="E11" s="148">
        <v>96.227719019328248</v>
      </c>
      <c r="F11" s="148">
        <v>106.58994943115007</v>
      </c>
      <c r="G11" s="148">
        <v>100.61855522642347</v>
      </c>
      <c r="H11" s="148">
        <v>110.23378855275506</v>
      </c>
      <c r="I11" s="148">
        <v>112.29672532858099</v>
      </c>
      <c r="J11" s="148">
        <v>113.93886866800042</v>
      </c>
      <c r="K11" s="148">
        <v>116.70226255274821</v>
      </c>
      <c r="L11" s="148">
        <v>123.46949830329068</v>
      </c>
      <c r="M11" s="148">
        <v>110.01774982259447</v>
      </c>
      <c r="N11" s="148">
        <v>113.17105176373798</v>
      </c>
      <c r="O11" s="148">
        <v>139.39308374096649</v>
      </c>
      <c r="P11" s="148">
        <v>128.43666735624589</v>
      </c>
      <c r="Q11" s="148">
        <v>108.72596747923116</v>
      </c>
      <c r="R11" s="148">
        <v>117.92864523638042</v>
      </c>
      <c r="S11" s="148">
        <v>102.90290786117684</v>
      </c>
      <c r="T11" s="148">
        <v>108.40421386774754</v>
      </c>
    </row>
    <row r="12" spans="1:44" s="92" customFormat="1" x14ac:dyDescent="0.25">
      <c r="A12" s="149" t="s">
        <v>517</v>
      </c>
      <c r="B12" s="148">
        <v>89.484827010964693</v>
      </c>
      <c r="C12" s="148">
        <v>93.686185639019314</v>
      </c>
      <c r="D12" s="148">
        <v>96.850592088687364</v>
      </c>
      <c r="E12" s="148">
        <v>97.449769438818592</v>
      </c>
      <c r="F12" s="148">
        <v>100.81217940624265</v>
      </c>
      <c r="G12" s="148">
        <v>98.989395063895515</v>
      </c>
      <c r="H12" s="148">
        <v>104.36958177801914</v>
      </c>
      <c r="I12" s="148">
        <v>105.13001337550263</v>
      </c>
      <c r="J12" s="148">
        <v>108.12909373128394</v>
      </c>
      <c r="K12" s="148">
        <v>106.17141378959916</v>
      </c>
      <c r="L12" s="148">
        <v>105.61536151438932</v>
      </c>
      <c r="M12" s="148">
        <v>105.13001337550263</v>
      </c>
      <c r="N12" s="148">
        <v>104.02484351049746</v>
      </c>
      <c r="O12" s="148">
        <v>114.10943868854149</v>
      </c>
      <c r="P12" s="148">
        <v>110.03379404508983</v>
      </c>
      <c r="Q12" s="148">
        <v>104.99154778186445</v>
      </c>
      <c r="R12" s="148">
        <v>103.81827428756658</v>
      </c>
      <c r="S12" s="148">
        <v>100.54108795405223</v>
      </c>
      <c r="T12" s="148">
        <v>101.42346964438414</v>
      </c>
    </row>
    <row r="13" spans="1:44" s="92" customFormat="1" x14ac:dyDescent="0.25">
      <c r="A13" s="149" t="s">
        <v>514</v>
      </c>
      <c r="B13" s="148">
        <v>34.365295915507296</v>
      </c>
      <c r="C13" s="148">
        <v>34.116033735754122</v>
      </c>
      <c r="D13" s="148">
        <v>41.623309053069704</v>
      </c>
      <c r="E13" s="148">
        <v>42.519501273945508</v>
      </c>
      <c r="F13" s="148">
        <v>45.52731506984771</v>
      </c>
      <c r="G13" s="148">
        <v>43.768150308172125</v>
      </c>
      <c r="H13" s="148">
        <v>45.478860733556452</v>
      </c>
      <c r="I13" s="148">
        <v>45.994844908962456</v>
      </c>
      <c r="J13" s="148">
        <v>45.373065937880682</v>
      </c>
      <c r="K13" s="148">
        <v>47.330431286076184</v>
      </c>
      <c r="L13" s="148">
        <v>50.338628632065152</v>
      </c>
      <c r="M13" s="148">
        <v>45.061414974630296</v>
      </c>
      <c r="N13" s="148">
        <v>46.845412481908696</v>
      </c>
      <c r="O13" s="148">
        <v>52.600326910634543</v>
      </c>
      <c r="P13" s="148">
        <v>50.261069595477913</v>
      </c>
      <c r="Q13" s="148">
        <v>44.591053101109857</v>
      </c>
      <c r="R13" s="148">
        <v>48.911872606989299</v>
      </c>
      <c r="S13" s="148">
        <v>44.070994755393713</v>
      </c>
      <c r="T13" s="148">
        <v>46.023165597654788</v>
      </c>
    </row>
    <row r="14" spans="1:44" s="152" customFormat="1" x14ac:dyDescent="0.25">
      <c r="A14" s="14" t="s">
        <v>518</v>
      </c>
      <c r="B14" s="146"/>
      <c r="C14" s="146"/>
      <c r="D14" s="146"/>
      <c r="E14" s="146"/>
      <c r="F14" s="146"/>
      <c r="G14" s="146"/>
      <c r="H14" s="146"/>
      <c r="I14" s="64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64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</row>
    <row r="15" spans="1:44" s="100" customFormat="1" x14ac:dyDescent="0.25">
      <c r="A15" s="26" t="s">
        <v>519</v>
      </c>
      <c r="B15" s="22">
        <v>50.75</v>
      </c>
      <c r="C15" s="27">
        <v>51.65</v>
      </c>
      <c r="D15" s="27">
        <v>59.04</v>
      </c>
      <c r="E15" s="27">
        <v>56.03</v>
      </c>
      <c r="F15" s="27">
        <v>57.43</v>
      </c>
      <c r="G15" s="27">
        <v>55.25</v>
      </c>
      <c r="H15" s="27">
        <v>54.11</v>
      </c>
      <c r="I15" s="27">
        <v>55.57</v>
      </c>
      <c r="J15" s="27">
        <v>60.49</v>
      </c>
      <c r="K15" s="27">
        <v>56.9</v>
      </c>
      <c r="L15" s="27">
        <v>60.02</v>
      </c>
      <c r="M15" s="27">
        <v>59.81</v>
      </c>
      <c r="N15" s="27">
        <v>58.65</v>
      </c>
      <c r="O15" s="27">
        <v>55.12</v>
      </c>
      <c r="P15" s="27">
        <v>63.05</v>
      </c>
      <c r="Q15" s="27">
        <v>51.4</v>
      </c>
      <c r="R15" s="27">
        <v>53.89</v>
      </c>
      <c r="S15" s="27">
        <v>51.47</v>
      </c>
      <c r="T15" s="27">
        <v>54.69</v>
      </c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</row>
    <row r="16" spans="1:44" s="92" customFormat="1" x14ac:dyDescent="0.25">
      <c r="A16" s="26" t="s">
        <v>520</v>
      </c>
      <c r="B16" s="22">
        <v>64.45</v>
      </c>
      <c r="C16" s="27">
        <v>62.27</v>
      </c>
      <c r="D16" s="27">
        <v>68.78</v>
      </c>
      <c r="E16" s="27">
        <v>65.27</v>
      </c>
      <c r="F16" s="27">
        <v>57.54</v>
      </c>
      <c r="G16" s="27">
        <v>56.51</v>
      </c>
      <c r="H16" s="27">
        <v>61.35</v>
      </c>
      <c r="I16" s="27">
        <v>60.12</v>
      </c>
      <c r="J16" s="27">
        <v>61.16</v>
      </c>
      <c r="K16" s="27">
        <v>56.47</v>
      </c>
      <c r="L16" s="27">
        <v>59.01</v>
      </c>
      <c r="M16" s="27">
        <v>64.14</v>
      </c>
      <c r="N16" s="27">
        <v>72.819999999999993</v>
      </c>
      <c r="O16" s="27">
        <v>57.86</v>
      </c>
      <c r="P16" s="27">
        <v>63.21</v>
      </c>
      <c r="Q16" s="27">
        <v>60.52</v>
      </c>
      <c r="R16" s="27">
        <v>54.74</v>
      </c>
      <c r="S16" s="27">
        <v>50.28</v>
      </c>
      <c r="T16" s="27">
        <v>55.21</v>
      </c>
    </row>
    <row r="17" spans="1:44" s="33" customFormat="1" ht="15" x14ac:dyDescent="0.25">
      <c r="A17" s="14" t="s">
        <v>521</v>
      </c>
      <c r="B17" s="146"/>
      <c r="C17" s="146"/>
      <c r="D17" s="146"/>
      <c r="E17" s="146"/>
      <c r="F17" s="146"/>
      <c r="G17" s="146"/>
      <c r="H17" s="146"/>
      <c r="I17" s="64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64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1:44" s="31" customFormat="1" ht="15" x14ac:dyDescent="0.25">
      <c r="A18" s="26" t="s">
        <v>520</v>
      </c>
      <c r="B18" s="22">
        <v>59.97</v>
      </c>
      <c r="C18" s="27">
        <v>58.07</v>
      </c>
      <c r="D18" s="27">
        <v>64.290000000000006</v>
      </c>
      <c r="E18" s="27">
        <v>57.63</v>
      </c>
      <c r="F18" s="27">
        <v>51.99</v>
      </c>
      <c r="G18" s="27">
        <v>55.95</v>
      </c>
      <c r="H18" s="27">
        <v>53.18</v>
      </c>
      <c r="I18" s="27">
        <v>53.38</v>
      </c>
      <c r="J18" s="27">
        <v>52.26</v>
      </c>
      <c r="K18" s="27">
        <v>53.1</v>
      </c>
      <c r="L18" s="27">
        <v>53.17</v>
      </c>
      <c r="M18" s="27">
        <v>52.46</v>
      </c>
      <c r="N18" s="27">
        <v>57.07</v>
      </c>
      <c r="O18" s="27">
        <v>51.08</v>
      </c>
      <c r="P18" s="27">
        <v>50.6</v>
      </c>
      <c r="Q18" s="27">
        <v>53.82</v>
      </c>
      <c r="R18" s="27">
        <v>45.96</v>
      </c>
      <c r="S18" s="27">
        <v>47.09</v>
      </c>
      <c r="T18" s="27">
        <v>49.28</v>
      </c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</row>
    <row r="19" spans="1:44" s="92" customFormat="1" x14ac:dyDescent="0.25">
      <c r="A19" s="14" t="s">
        <v>511</v>
      </c>
      <c r="B19" s="146"/>
      <c r="C19" s="146"/>
      <c r="D19" s="146"/>
      <c r="E19" s="146"/>
      <c r="F19" s="146"/>
      <c r="G19" s="146"/>
      <c r="H19" s="146"/>
      <c r="I19" s="64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</row>
    <row r="20" spans="1:44" s="131" customFormat="1" x14ac:dyDescent="0.25">
      <c r="A20" s="147" t="s">
        <v>522</v>
      </c>
      <c r="B20" s="148">
        <v>73.932185903909456</v>
      </c>
      <c r="C20" s="148">
        <v>81.048524785492717</v>
      </c>
      <c r="D20" s="148">
        <v>97.05701789437741</v>
      </c>
      <c r="E20" s="148">
        <v>109.93889901991413</v>
      </c>
      <c r="F20" s="148">
        <v>103.80918476326097</v>
      </c>
      <c r="G20" s="148">
        <v>98.389288075500758</v>
      </c>
      <c r="H20" s="148">
        <v>102.16795867510409</v>
      </c>
      <c r="I20" s="148">
        <v>111.6411534353863</v>
      </c>
      <c r="J20" s="148">
        <v>111.6411534353863</v>
      </c>
      <c r="K20" s="148">
        <v>107.13086943570596</v>
      </c>
      <c r="L20" s="148">
        <v>97.322745402895933</v>
      </c>
      <c r="M20" s="148">
        <v>102.71358098241078</v>
      </c>
      <c r="N20" s="148">
        <v>106.85206442847701</v>
      </c>
      <c r="O20" s="148">
        <v>120.34858799340313</v>
      </c>
      <c r="P20" s="148">
        <v>110.22169992952684</v>
      </c>
      <c r="Q20" s="148">
        <v>118.58094608437897</v>
      </c>
      <c r="R20" s="148">
        <v>107.68956924172304</v>
      </c>
      <c r="S20" s="148">
        <v>103.80918476326097</v>
      </c>
      <c r="T20" s="148">
        <v>109.37438699224798</v>
      </c>
    </row>
    <row r="21" spans="1:44" s="100" customFormat="1" x14ac:dyDescent="0.25">
      <c r="A21" s="147" t="s">
        <v>523</v>
      </c>
      <c r="B21" s="148">
        <v>64.891975308641975</v>
      </c>
      <c r="C21" s="148">
        <v>63.335069444444436</v>
      </c>
      <c r="D21" s="148">
        <v>95.333526234567898</v>
      </c>
      <c r="E21" s="148">
        <v>89.460069444444471</v>
      </c>
      <c r="F21" s="148">
        <v>101.95389660493825</v>
      </c>
      <c r="G21" s="148">
        <v>89.722993827160508</v>
      </c>
      <c r="H21" s="148">
        <v>110.83410493827159</v>
      </c>
      <c r="I21" s="148">
        <v>108.50694444444444</v>
      </c>
      <c r="J21" s="148">
        <v>117.36111111111114</v>
      </c>
      <c r="K21" s="148">
        <v>102.515625</v>
      </c>
      <c r="L21" s="148">
        <v>121.00000000000001</v>
      </c>
      <c r="M21" s="148">
        <v>113.77777777777777</v>
      </c>
      <c r="N21" s="148">
        <v>130.97530864197532</v>
      </c>
      <c r="O21" s="148">
        <v>162.5625</v>
      </c>
      <c r="P21" s="148">
        <v>132.56963734567898</v>
      </c>
      <c r="Q21" s="148">
        <v>120.08506944444449</v>
      </c>
      <c r="R21" s="148">
        <v>127.18827160493828</v>
      </c>
      <c r="S21" s="148">
        <v>124.69444444444446</v>
      </c>
      <c r="T21" s="148">
        <v>116.16049382716052</v>
      </c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</row>
    <row r="22" spans="1:44" s="100" customFormat="1" x14ac:dyDescent="0.25">
      <c r="A22" s="14" t="s">
        <v>515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</row>
    <row r="23" spans="1:44" s="92" customFormat="1" x14ac:dyDescent="0.25">
      <c r="A23" s="149" t="s">
        <v>524</v>
      </c>
      <c r="B23" s="148">
        <v>65.063988421560452</v>
      </c>
      <c r="C23" s="148">
        <v>70.738125520810485</v>
      </c>
      <c r="D23" s="148">
        <v>108.38050962677075</v>
      </c>
      <c r="E23" s="148">
        <v>103.20406999692997</v>
      </c>
      <c r="F23" s="148">
        <v>112.5566422525328</v>
      </c>
      <c r="G23" s="148">
        <v>101.06240954344108</v>
      </c>
      <c r="H23" s="148">
        <v>111.71510021490285</v>
      </c>
      <c r="I23" s="148">
        <v>119.40265777816761</v>
      </c>
      <c r="J23" s="148">
        <v>126.15306346212884</v>
      </c>
      <c r="K23" s="148">
        <v>138.02359545633965</v>
      </c>
      <c r="L23" s="148">
        <v>120.85434849348712</v>
      </c>
      <c r="M23" s="148">
        <v>101.06240954344108</v>
      </c>
      <c r="N23" s="148">
        <v>113.96622955133549</v>
      </c>
      <c r="O23" s="148">
        <v>142.09903074426563</v>
      </c>
      <c r="P23" s="148">
        <v>120.85434849348712</v>
      </c>
      <c r="Q23" s="148">
        <v>123.78404455944914</v>
      </c>
      <c r="R23" s="148">
        <v>127.0472347704048</v>
      </c>
      <c r="S23" s="148">
        <v>103.20406999692997</v>
      </c>
      <c r="T23" s="148">
        <v>107.00600850839876</v>
      </c>
    </row>
    <row r="24" spans="1:44" s="92" customFormat="1" x14ac:dyDescent="0.25">
      <c r="A24" s="149" t="s">
        <v>525</v>
      </c>
      <c r="B24" s="148">
        <v>70.700520052522208</v>
      </c>
      <c r="C24" s="148">
        <v>68.288169063595276</v>
      </c>
      <c r="D24" s="148">
        <v>106.53425833066244</v>
      </c>
      <c r="E24" s="148">
        <v>91.506756547182093</v>
      </c>
      <c r="F24" s="148">
        <v>106.53425833066244</v>
      </c>
      <c r="G24" s="148">
        <v>90.892618976230594</v>
      </c>
      <c r="H24" s="148">
        <v>104.55226889713714</v>
      </c>
      <c r="I24" s="148">
        <v>103.24128162446624</v>
      </c>
      <c r="J24" s="148">
        <v>114.64831835899135</v>
      </c>
      <c r="K24" s="148">
        <v>112.25095894376609</v>
      </c>
      <c r="L24" s="148">
        <v>119.87081399075694</v>
      </c>
      <c r="M24" s="148">
        <v>114.64831835899135</v>
      </c>
      <c r="N24" s="148">
        <v>133.62170573091677</v>
      </c>
      <c r="O24" s="148">
        <v>143.07544380227665</v>
      </c>
      <c r="P24" s="148">
        <v>148.11907445125672</v>
      </c>
      <c r="Q24" s="148">
        <v>112.25095894376609</v>
      </c>
      <c r="R24" s="148">
        <v>142.69109086961467</v>
      </c>
      <c r="S24" s="148">
        <v>114.64831835899135</v>
      </c>
      <c r="T24" s="148">
        <v>111.91054683057453</v>
      </c>
    </row>
    <row r="25" spans="1:44" s="152" customFormat="1" x14ac:dyDescent="0.25">
      <c r="A25" s="14" t="s">
        <v>518</v>
      </c>
      <c r="B25" s="146"/>
      <c r="C25" s="146"/>
      <c r="D25" s="146"/>
      <c r="E25" s="146"/>
      <c r="F25" s="146"/>
      <c r="G25" s="146"/>
      <c r="H25" s="146"/>
      <c r="I25" s="64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64"/>
      <c r="U25" s="131"/>
      <c r="V25" s="131"/>
      <c r="W25" s="92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</row>
    <row r="26" spans="1:44" s="153" customFormat="1" x14ac:dyDescent="0.25">
      <c r="A26" s="26" t="s">
        <v>526</v>
      </c>
      <c r="B26" s="22">
        <v>44.31</v>
      </c>
      <c r="C26" s="27">
        <v>50.99</v>
      </c>
      <c r="D26" s="27">
        <v>50.8</v>
      </c>
      <c r="E26" s="27">
        <v>46.14</v>
      </c>
      <c r="F26" s="27">
        <v>48.64</v>
      </c>
      <c r="G26" s="27">
        <v>45.69</v>
      </c>
      <c r="H26" s="27">
        <v>49.11</v>
      </c>
      <c r="I26" s="27">
        <v>48.45</v>
      </c>
      <c r="J26" s="27">
        <v>45.6</v>
      </c>
      <c r="K26" s="27">
        <v>49.77</v>
      </c>
      <c r="L26" s="27">
        <v>47.93</v>
      </c>
      <c r="M26" s="27">
        <v>49.71</v>
      </c>
      <c r="N26" s="27">
        <v>51.39</v>
      </c>
      <c r="O26" s="27">
        <v>44.41</v>
      </c>
      <c r="P26" s="27">
        <v>47.13</v>
      </c>
      <c r="Q26" s="27">
        <v>49.32</v>
      </c>
      <c r="R26" s="27">
        <v>46.99</v>
      </c>
      <c r="S26" s="27">
        <v>48.82</v>
      </c>
      <c r="T26" s="27">
        <v>45.59</v>
      </c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</row>
    <row r="27" spans="1:44" s="100" customFormat="1" x14ac:dyDescent="0.25">
      <c r="A27" s="26" t="s">
        <v>527</v>
      </c>
      <c r="B27" s="22">
        <v>50</v>
      </c>
      <c r="C27" s="27">
        <v>55.58</v>
      </c>
      <c r="D27" s="27">
        <v>65.260000000000005</v>
      </c>
      <c r="E27" s="27">
        <v>60.19</v>
      </c>
      <c r="F27" s="27">
        <v>63.51</v>
      </c>
      <c r="G27" s="27">
        <v>55.68</v>
      </c>
      <c r="H27" s="27">
        <v>64.39</v>
      </c>
      <c r="I27" s="27">
        <v>59.12</v>
      </c>
      <c r="J27" s="27">
        <v>60.04</v>
      </c>
      <c r="K27" s="27">
        <v>62.7</v>
      </c>
      <c r="L27" s="27">
        <v>64.03</v>
      </c>
      <c r="M27" s="27">
        <v>62.53</v>
      </c>
      <c r="N27" s="27">
        <v>70.040000000000006</v>
      </c>
      <c r="O27" s="27">
        <v>65.59</v>
      </c>
      <c r="P27" s="27">
        <v>68.09</v>
      </c>
      <c r="Q27" s="27">
        <v>66.23</v>
      </c>
      <c r="R27" s="27">
        <v>59.98</v>
      </c>
      <c r="S27" s="27">
        <v>59.93</v>
      </c>
      <c r="T27" s="27">
        <v>62.41</v>
      </c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</row>
    <row r="28" spans="1:44" s="100" customFormat="1" x14ac:dyDescent="0.25">
      <c r="A28" s="26" t="s">
        <v>528</v>
      </c>
      <c r="B28" s="22">
        <v>57.86</v>
      </c>
      <c r="C28" s="27">
        <v>58.65</v>
      </c>
      <c r="D28" s="27">
        <v>60.13</v>
      </c>
      <c r="E28" s="27">
        <v>60.89</v>
      </c>
      <c r="F28" s="27">
        <v>52.56</v>
      </c>
      <c r="G28" s="27">
        <v>52.68</v>
      </c>
      <c r="H28" s="27">
        <v>53.63</v>
      </c>
      <c r="I28" s="27">
        <v>53.18</v>
      </c>
      <c r="J28" s="27">
        <v>54.79</v>
      </c>
      <c r="K28" s="27">
        <v>47.45</v>
      </c>
      <c r="L28" s="27">
        <v>57</v>
      </c>
      <c r="M28" s="27">
        <v>56.19</v>
      </c>
      <c r="N28" s="27">
        <v>56.09</v>
      </c>
      <c r="O28" s="27">
        <v>49.53</v>
      </c>
      <c r="P28" s="27">
        <v>53.37</v>
      </c>
      <c r="Q28" s="27">
        <v>53.78</v>
      </c>
      <c r="R28" s="27">
        <v>48.1</v>
      </c>
      <c r="S28" s="27">
        <v>50.01</v>
      </c>
      <c r="T28" s="27">
        <v>50.73</v>
      </c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</row>
    <row r="29" spans="1:44" s="100" customFormat="1" x14ac:dyDescent="0.25">
      <c r="A29" s="26" t="s">
        <v>529</v>
      </c>
      <c r="B29" s="22">
        <v>68.47</v>
      </c>
      <c r="C29" s="27">
        <v>69.94</v>
      </c>
      <c r="D29" s="27">
        <v>71.75</v>
      </c>
      <c r="E29" s="27">
        <v>71.08</v>
      </c>
      <c r="F29" s="27">
        <v>62.53</v>
      </c>
      <c r="G29" s="27">
        <v>61.54</v>
      </c>
      <c r="H29" s="27">
        <v>62.27</v>
      </c>
      <c r="I29" s="27">
        <v>65.430000000000007</v>
      </c>
      <c r="J29" s="27">
        <v>58.77</v>
      </c>
      <c r="K29" s="27">
        <v>57.79</v>
      </c>
      <c r="L29" s="27">
        <v>62.46</v>
      </c>
      <c r="M29" s="27">
        <v>64.22</v>
      </c>
      <c r="N29" s="27">
        <v>69.05</v>
      </c>
      <c r="O29" s="27">
        <v>61.72</v>
      </c>
      <c r="P29" s="27">
        <v>65.790000000000006</v>
      </c>
      <c r="Q29" s="27">
        <v>65.75</v>
      </c>
      <c r="R29" s="27">
        <v>58.3</v>
      </c>
      <c r="S29" s="27">
        <v>57.61</v>
      </c>
      <c r="T29" s="27">
        <v>60.13</v>
      </c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</row>
    <row r="30" spans="1:44" s="33" customFormat="1" ht="15" x14ac:dyDescent="0.25">
      <c r="A30" s="14" t="s">
        <v>521</v>
      </c>
      <c r="B30" s="146"/>
      <c r="C30" s="146"/>
      <c r="D30" s="146"/>
      <c r="E30" s="146"/>
      <c r="F30" s="146"/>
      <c r="G30" s="146"/>
      <c r="H30" s="146"/>
      <c r="I30" s="64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64"/>
      <c r="U30" s="11"/>
      <c r="V30" s="11"/>
      <c r="W30" s="92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</row>
    <row r="31" spans="1:44" s="108" customFormat="1" ht="15" x14ac:dyDescent="0.25">
      <c r="A31" s="26" t="s">
        <v>528</v>
      </c>
      <c r="B31" s="22">
        <v>35.950000000000003</v>
      </c>
      <c r="C31" s="27">
        <v>30.3</v>
      </c>
      <c r="D31" s="27">
        <v>30.4</v>
      </c>
      <c r="E31" s="27">
        <v>32.39</v>
      </c>
      <c r="F31" s="27">
        <v>28.04</v>
      </c>
      <c r="G31" s="27">
        <v>25.86</v>
      </c>
      <c r="H31" s="27">
        <v>26.9</v>
      </c>
      <c r="I31" s="27">
        <v>31.73</v>
      </c>
      <c r="J31" s="27">
        <v>26.1</v>
      </c>
      <c r="K31" s="27">
        <v>26.29</v>
      </c>
      <c r="L31" s="27">
        <v>22.36</v>
      </c>
      <c r="M31" s="27">
        <v>30.14</v>
      </c>
      <c r="N31" s="27">
        <v>24.5</v>
      </c>
      <c r="O31" s="27">
        <v>20.010000000000002</v>
      </c>
      <c r="P31" s="27">
        <v>24.57</v>
      </c>
      <c r="Q31" s="27">
        <v>30.83</v>
      </c>
      <c r="R31" s="27">
        <v>23.74</v>
      </c>
      <c r="S31" s="27">
        <v>24.96</v>
      </c>
      <c r="T31" s="27">
        <v>21.9</v>
      </c>
      <c r="U31" s="11"/>
      <c r="V31" s="11"/>
      <c r="W31" s="92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</row>
    <row r="32" spans="1:44" s="31" customFormat="1" ht="15" x14ac:dyDescent="0.25">
      <c r="A32" s="26" t="s">
        <v>529</v>
      </c>
      <c r="B32" s="22">
        <v>57.26</v>
      </c>
      <c r="C32" s="27">
        <v>61.13</v>
      </c>
      <c r="D32" s="27">
        <v>53.66</v>
      </c>
      <c r="E32" s="27">
        <v>55.14</v>
      </c>
      <c r="F32" s="27">
        <v>48.83</v>
      </c>
      <c r="G32" s="27">
        <v>49.79</v>
      </c>
      <c r="H32" s="27">
        <v>51.45</v>
      </c>
      <c r="I32" s="27">
        <v>50.71</v>
      </c>
      <c r="J32" s="27">
        <v>51.46</v>
      </c>
      <c r="K32" s="27">
        <v>45.05</v>
      </c>
      <c r="L32" s="27">
        <v>46.32</v>
      </c>
      <c r="M32" s="27">
        <v>53.25</v>
      </c>
      <c r="N32" s="27">
        <v>49.23</v>
      </c>
      <c r="O32" s="27">
        <v>50.61</v>
      </c>
      <c r="P32" s="27">
        <v>48.09</v>
      </c>
      <c r="Q32" s="27">
        <v>44.64</v>
      </c>
      <c r="R32" s="27">
        <v>45.86</v>
      </c>
      <c r="S32" s="27">
        <v>47.64</v>
      </c>
      <c r="T32" s="27">
        <v>45.81</v>
      </c>
      <c r="U32" s="11"/>
      <c r="V32" s="11"/>
      <c r="W32" s="92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</row>
    <row r="33" spans="1:44" s="11" customFormat="1" ht="15" x14ac:dyDescent="0.25">
      <c r="A33" s="38" t="s">
        <v>245</v>
      </c>
      <c r="B33" s="22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W33" s="92"/>
    </row>
    <row r="34" spans="1:44" s="92" customFormat="1" x14ac:dyDescent="0.25">
      <c r="A34" s="96" t="s">
        <v>246</v>
      </c>
      <c r="B34" s="64">
        <v>2001</v>
      </c>
      <c r="C34" s="64">
        <v>1969</v>
      </c>
      <c r="D34" s="64">
        <v>2021</v>
      </c>
      <c r="E34" s="64">
        <v>2019</v>
      </c>
      <c r="F34" s="64">
        <v>1994</v>
      </c>
      <c r="G34" s="64">
        <v>2011</v>
      </c>
      <c r="H34" s="64">
        <v>2015</v>
      </c>
      <c r="I34" s="64">
        <v>2018</v>
      </c>
      <c r="J34" s="42">
        <v>2024</v>
      </c>
      <c r="K34" s="64">
        <v>2021</v>
      </c>
      <c r="L34" s="42">
        <v>2025</v>
      </c>
      <c r="M34" s="64">
        <v>2009</v>
      </c>
      <c r="N34" s="64">
        <v>2001</v>
      </c>
      <c r="O34" s="42">
        <v>2025</v>
      </c>
      <c r="P34" s="42">
        <v>2022</v>
      </c>
      <c r="Q34" s="42">
        <v>2022</v>
      </c>
      <c r="R34" s="64">
        <v>2021</v>
      </c>
      <c r="S34" s="64">
        <v>1981</v>
      </c>
      <c r="T34" s="64">
        <v>2015</v>
      </c>
    </row>
    <row r="35" spans="1:44" s="92" customFormat="1" ht="14.25" x14ac:dyDescent="0.25">
      <c r="A35" s="39" t="s">
        <v>247</v>
      </c>
      <c r="B35" s="122" t="s">
        <v>151</v>
      </c>
      <c r="C35" s="122" t="s">
        <v>151</v>
      </c>
      <c r="D35" s="122" t="s">
        <v>530</v>
      </c>
      <c r="E35" s="122" t="s">
        <v>154</v>
      </c>
      <c r="F35" s="122" t="s">
        <v>151</v>
      </c>
      <c r="G35" s="64" t="s">
        <v>154</v>
      </c>
      <c r="H35" s="64" t="s">
        <v>154</v>
      </c>
      <c r="I35" s="122" t="s">
        <v>151</v>
      </c>
      <c r="J35" s="42" t="s">
        <v>154</v>
      </c>
      <c r="K35" s="122" t="s">
        <v>151</v>
      </c>
      <c r="L35" s="42" t="s">
        <v>249</v>
      </c>
      <c r="M35" s="64" t="s">
        <v>156</v>
      </c>
      <c r="N35" s="64" t="s">
        <v>531</v>
      </c>
      <c r="O35" s="42" t="s">
        <v>154</v>
      </c>
      <c r="P35" s="42" t="s">
        <v>154</v>
      </c>
      <c r="Q35" s="122" t="s">
        <v>530</v>
      </c>
      <c r="R35" s="122" t="s">
        <v>530</v>
      </c>
      <c r="S35" s="42" t="s">
        <v>154</v>
      </c>
      <c r="T35" s="64" t="s">
        <v>156</v>
      </c>
    </row>
    <row r="36" spans="1:44" s="92" customFormat="1" ht="14.25" x14ac:dyDescent="0.25">
      <c r="A36" s="39" t="s">
        <v>248</v>
      </c>
      <c r="B36" s="122" t="s">
        <v>267</v>
      </c>
      <c r="C36" s="122" t="s">
        <v>249</v>
      </c>
      <c r="D36" s="122" t="s">
        <v>156</v>
      </c>
      <c r="E36" s="122" t="s">
        <v>289</v>
      </c>
      <c r="F36" s="122" t="s">
        <v>267</v>
      </c>
      <c r="G36" s="64" t="s">
        <v>156</v>
      </c>
      <c r="H36" s="64" t="s">
        <v>156</v>
      </c>
      <c r="I36" s="122" t="s">
        <v>267</v>
      </c>
      <c r="J36" s="42" t="s">
        <v>308</v>
      </c>
      <c r="K36" s="122" t="s">
        <v>267</v>
      </c>
      <c r="L36" s="42" t="s">
        <v>249</v>
      </c>
      <c r="M36" s="64" t="s">
        <v>289</v>
      </c>
      <c r="N36" s="64" t="s">
        <v>249</v>
      </c>
      <c r="O36" s="42" t="s">
        <v>308</v>
      </c>
      <c r="P36" s="42" t="s">
        <v>249</v>
      </c>
      <c r="Q36" s="42" t="s">
        <v>532</v>
      </c>
      <c r="R36" s="64" t="s">
        <v>289</v>
      </c>
      <c r="S36" s="122" t="s">
        <v>267</v>
      </c>
      <c r="T36" s="64" t="s">
        <v>156</v>
      </c>
    </row>
    <row r="37" spans="1:44" s="33" customFormat="1" ht="15" x14ac:dyDescent="0.25">
      <c r="A37" s="19" t="s">
        <v>533</v>
      </c>
      <c r="B37" s="146"/>
      <c r="C37" s="146"/>
      <c r="D37" s="146"/>
      <c r="E37" s="146"/>
      <c r="F37" s="146"/>
      <c r="G37" s="146"/>
      <c r="H37" s="146"/>
      <c r="I37" s="64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64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</row>
    <row r="38" spans="1:44" s="11" customFormat="1" ht="15" x14ac:dyDescent="0.25">
      <c r="A38" s="39" t="s">
        <v>252</v>
      </c>
      <c r="B38" s="64">
        <v>25</v>
      </c>
      <c r="C38" s="64">
        <v>10</v>
      </c>
      <c r="D38" s="64">
        <v>12</v>
      </c>
      <c r="E38" s="64">
        <v>11</v>
      </c>
      <c r="F38" s="64">
        <v>13</v>
      </c>
      <c r="G38" s="64">
        <v>11</v>
      </c>
      <c r="H38" s="64">
        <v>12</v>
      </c>
      <c r="I38" s="64">
        <v>12</v>
      </c>
      <c r="J38" s="64">
        <v>4</v>
      </c>
      <c r="K38" s="64">
        <v>12</v>
      </c>
      <c r="L38" s="64">
        <v>5</v>
      </c>
      <c r="M38" s="64">
        <v>17</v>
      </c>
      <c r="N38" s="64">
        <v>10</v>
      </c>
      <c r="O38" s="64">
        <v>5</v>
      </c>
      <c r="P38" s="64">
        <v>10</v>
      </c>
      <c r="Q38" s="64">
        <v>10</v>
      </c>
      <c r="R38" s="64">
        <v>12</v>
      </c>
      <c r="S38" s="64">
        <v>25</v>
      </c>
      <c r="T38" s="64">
        <v>12</v>
      </c>
    </row>
    <row r="39" spans="1:44" s="97" customFormat="1" ht="15" x14ac:dyDescent="0.25">
      <c r="A39" s="39" t="s">
        <v>253</v>
      </c>
      <c r="B39" s="64">
        <v>25</v>
      </c>
      <c r="C39" s="64">
        <v>10</v>
      </c>
      <c r="D39" s="64">
        <v>11</v>
      </c>
      <c r="E39" s="64">
        <v>11</v>
      </c>
      <c r="F39" s="64">
        <v>12</v>
      </c>
      <c r="G39" s="64">
        <v>11</v>
      </c>
      <c r="H39" s="64">
        <v>13</v>
      </c>
      <c r="I39" s="64">
        <v>11</v>
      </c>
      <c r="J39" s="64">
        <v>4</v>
      </c>
      <c r="K39" s="64">
        <v>11</v>
      </c>
      <c r="L39" s="64">
        <v>5</v>
      </c>
      <c r="M39" s="64">
        <v>16</v>
      </c>
      <c r="N39" s="64">
        <v>10</v>
      </c>
      <c r="O39" s="64">
        <v>5</v>
      </c>
      <c r="P39" s="64">
        <v>8</v>
      </c>
      <c r="Q39" s="64">
        <v>8</v>
      </c>
      <c r="R39" s="64">
        <v>11</v>
      </c>
      <c r="S39" s="64">
        <v>25</v>
      </c>
      <c r="T39" s="64">
        <v>13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</row>
    <row r="40" spans="1:44" x14ac:dyDescent="0.2">
      <c r="A40" s="39" t="s">
        <v>534</v>
      </c>
      <c r="B40" s="71"/>
      <c r="C40" s="71"/>
      <c r="D40" s="56"/>
      <c r="E40" s="56"/>
      <c r="F40" s="154"/>
      <c r="G40" s="56"/>
      <c r="H40" s="56"/>
      <c r="I40" s="71"/>
      <c r="J40" s="71"/>
      <c r="K40" s="56"/>
      <c r="L40" s="71"/>
      <c r="M40" s="56"/>
      <c r="N40" s="56"/>
      <c r="O40" s="71"/>
      <c r="P40" s="56"/>
      <c r="Q40" s="56"/>
      <c r="R40" s="56"/>
      <c r="S40" s="56"/>
      <c r="T40" s="56"/>
      <c r="U40" s="88"/>
    </row>
    <row r="41" spans="1:44" x14ac:dyDescent="0.2">
      <c r="B41" s="156"/>
      <c r="C41" s="156"/>
      <c r="E41" s="156"/>
      <c r="K41" s="88"/>
      <c r="M41" s="88"/>
      <c r="P41" s="88"/>
      <c r="Q41" s="88"/>
      <c r="U41" s="88"/>
    </row>
    <row r="42" spans="1:44" x14ac:dyDescent="0.2">
      <c r="B42" s="156"/>
      <c r="J42" s="78"/>
      <c r="K42" s="88"/>
      <c r="P42" s="88"/>
      <c r="Q42" s="88"/>
      <c r="U42" s="78"/>
    </row>
    <row r="43" spans="1:44" x14ac:dyDescent="0.2">
      <c r="B43" s="156"/>
      <c r="J43" s="78"/>
      <c r="K43" s="88"/>
      <c r="P43" s="88"/>
      <c r="Q43" s="88"/>
      <c r="U43" s="78"/>
    </row>
    <row r="44" spans="1:44" x14ac:dyDescent="0.2">
      <c r="J44" s="78"/>
      <c r="K44" s="88"/>
      <c r="P44" s="88"/>
      <c r="Q44" s="88"/>
      <c r="U44" s="78"/>
    </row>
    <row r="45" spans="1:44" x14ac:dyDescent="0.2">
      <c r="J45" s="78"/>
      <c r="K45" s="88"/>
      <c r="P45" s="88"/>
      <c r="Q45" s="88"/>
      <c r="U45" s="78"/>
    </row>
    <row r="46" spans="1:44" x14ac:dyDescent="0.2">
      <c r="J46" s="78"/>
      <c r="K46" s="88"/>
      <c r="P46" s="88"/>
      <c r="Q46" s="88"/>
      <c r="U46" s="78"/>
    </row>
    <row r="47" spans="1:44" x14ac:dyDescent="0.2">
      <c r="J47" s="78"/>
      <c r="K47" s="88"/>
      <c r="P47" s="88"/>
      <c r="Q47" s="88"/>
      <c r="U47" s="78"/>
    </row>
    <row r="48" spans="1:44" x14ac:dyDescent="0.2">
      <c r="J48" s="78"/>
      <c r="K48" s="88"/>
      <c r="P48" s="88"/>
      <c r="Q48" s="88"/>
      <c r="U48" s="78"/>
    </row>
    <row r="49" spans="10:21" x14ac:dyDescent="0.2">
      <c r="J49" s="78"/>
      <c r="K49" s="88"/>
      <c r="P49" s="88"/>
      <c r="Q49" s="88"/>
      <c r="U49" s="78"/>
    </row>
    <row r="50" spans="10:21" x14ac:dyDescent="0.2">
      <c r="J50" s="78"/>
      <c r="K50" s="88"/>
      <c r="P50" s="88"/>
      <c r="Q50" s="88"/>
      <c r="U50" s="78"/>
    </row>
    <row r="51" spans="10:21" x14ac:dyDescent="0.2">
      <c r="J51" s="78"/>
      <c r="K51" s="88"/>
      <c r="P51" s="88"/>
      <c r="Q51" s="88"/>
      <c r="U51" s="78"/>
    </row>
    <row r="52" spans="10:21" x14ac:dyDescent="0.2">
      <c r="J52" s="78"/>
      <c r="K52" s="88"/>
      <c r="P52" s="88"/>
      <c r="Q52" s="88"/>
      <c r="U52" s="78"/>
    </row>
    <row r="53" spans="10:21" x14ac:dyDescent="0.2">
      <c r="J53" s="78"/>
      <c r="K53" s="88"/>
      <c r="P53" s="88"/>
      <c r="Q53" s="88"/>
      <c r="U53" s="78"/>
    </row>
    <row r="54" spans="10:21" x14ac:dyDescent="0.2">
      <c r="J54" s="78"/>
      <c r="K54" s="88"/>
      <c r="P54" s="88"/>
      <c r="Q54" s="88"/>
      <c r="U54" s="78"/>
    </row>
    <row r="55" spans="10:21" x14ac:dyDescent="0.2">
      <c r="J55" s="78"/>
      <c r="K55" s="88"/>
      <c r="P55" s="88"/>
      <c r="Q55" s="88"/>
      <c r="U55" s="78"/>
    </row>
    <row r="56" spans="10:21" x14ac:dyDescent="0.2">
      <c r="J56" s="78"/>
      <c r="K56" s="88"/>
      <c r="P56" s="88"/>
      <c r="Q56" s="88"/>
      <c r="U56" s="78"/>
    </row>
    <row r="57" spans="10:21" x14ac:dyDescent="0.2">
      <c r="J57" s="78"/>
      <c r="K57" s="88"/>
      <c r="P57" s="88"/>
      <c r="Q57" s="88"/>
      <c r="U57" s="78"/>
    </row>
    <row r="58" spans="10:21" x14ac:dyDescent="0.2">
      <c r="J58" s="78"/>
      <c r="K58" s="88"/>
      <c r="P58" s="88"/>
      <c r="Q58" s="88"/>
      <c r="U58" s="78"/>
    </row>
    <row r="59" spans="10:21" x14ac:dyDescent="0.2">
      <c r="J59" s="78"/>
      <c r="K59" s="88"/>
      <c r="P59" s="88"/>
      <c r="Q59" s="88"/>
      <c r="U59" s="78"/>
    </row>
    <row r="60" spans="10:21" x14ac:dyDescent="0.2">
      <c r="J60" s="78"/>
      <c r="K60" s="88"/>
      <c r="P60" s="88"/>
      <c r="Q60" s="88"/>
      <c r="U60" s="78"/>
    </row>
    <row r="61" spans="10:21" x14ac:dyDescent="0.2">
      <c r="J61" s="78"/>
      <c r="K61" s="88"/>
      <c r="P61" s="88"/>
      <c r="Q61" s="88"/>
      <c r="U61" s="78"/>
    </row>
    <row r="62" spans="10:21" x14ac:dyDescent="0.2">
      <c r="J62" s="78"/>
      <c r="K62" s="88"/>
      <c r="P62" s="88"/>
      <c r="Q62" s="88"/>
      <c r="U62" s="78"/>
    </row>
    <row r="63" spans="10:21" x14ac:dyDescent="0.2">
      <c r="J63" s="78"/>
      <c r="K63" s="88"/>
      <c r="P63" s="88"/>
      <c r="Q63" s="88"/>
      <c r="U63" s="78"/>
    </row>
    <row r="64" spans="10:21" x14ac:dyDescent="0.2">
      <c r="J64" s="78"/>
      <c r="K64" s="88"/>
      <c r="P64" s="88"/>
      <c r="Q64" s="88"/>
      <c r="U64" s="78"/>
    </row>
    <row r="65" spans="10:21" x14ac:dyDescent="0.2">
      <c r="J65" s="78"/>
      <c r="K65" s="88"/>
      <c r="P65" s="88"/>
      <c r="Q65" s="88"/>
      <c r="U65" s="78"/>
    </row>
    <row r="66" spans="10:21" x14ac:dyDescent="0.2">
      <c r="J66" s="78"/>
      <c r="K66" s="88"/>
      <c r="P66" s="88"/>
      <c r="Q66" s="88"/>
      <c r="U66" s="78"/>
    </row>
    <row r="67" spans="10:21" x14ac:dyDescent="0.2">
      <c r="J67" s="78"/>
      <c r="K67" s="88"/>
      <c r="P67" s="88"/>
      <c r="Q67" s="88"/>
      <c r="U67" s="78"/>
    </row>
    <row r="68" spans="10:21" x14ac:dyDescent="0.2">
      <c r="J68" s="78"/>
      <c r="K68" s="88"/>
      <c r="P68" s="88"/>
      <c r="Q68" s="88"/>
      <c r="U68" s="78"/>
    </row>
    <row r="69" spans="10:21" x14ac:dyDescent="0.2">
      <c r="J69" s="78"/>
      <c r="K69" s="88"/>
      <c r="P69" s="88"/>
      <c r="Q69" s="88"/>
      <c r="U69" s="78"/>
    </row>
    <row r="70" spans="10:21" x14ac:dyDescent="0.2">
      <c r="J70" s="78"/>
      <c r="K70" s="88"/>
      <c r="P70" s="88"/>
      <c r="Q70" s="88"/>
      <c r="U70" s="78"/>
    </row>
    <row r="71" spans="10:21" x14ac:dyDescent="0.2">
      <c r="J71" s="78"/>
      <c r="K71" s="88"/>
      <c r="P71" s="88"/>
      <c r="Q71" s="88"/>
      <c r="U71" s="78"/>
    </row>
    <row r="72" spans="10:21" x14ac:dyDescent="0.2">
      <c r="J72" s="78"/>
      <c r="K72" s="88"/>
      <c r="P72" s="88"/>
      <c r="Q72" s="88"/>
      <c r="U72" s="78"/>
    </row>
    <row r="73" spans="10:21" x14ac:dyDescent="0.2">
      <c r="J73" s="78"/>
      <c r="K73" s="88"/>
      <c r="P73" s="88"/>
      <c r="Q73" s="88"/>
      <c r="U73" s="78"/>
    </row>
    <row r="74" spans="10:21" x14ac:dyDescent="0.2">
      <c r="J74" s="78"/>
      <c r="K74" s="88"/>
      <c r="P74" s="88"/>
      <c r="Q74" s="88"/>
      <c r="U74" s="78"/>
    </row>
    <row r="75" spans="10:21" x14ac:dyDescent="0.2">
      <c r="J75" s="78"/>
      <c r="K75" s="88"/>
      <c r="P75" s="88"/>
      <c r="Q75" s="88"/>
      <c r="U75" s="78"/>
    </row>
    <row r="76" spans="10:21" x14ac:dyDescent="0.2">
      <c r="J76" s="78"/>
      <c r="K76" s="88"/>
      <c r="P76" s="88"/>
      <c r="Q76" s="88"/>
      <c r="U76" s="78"/>
    </row>
    <row r="77" spans="10:21" x14ac:dyDescent="0.2">
      <c r="J77" s="78"/>
      <c r="K77" s="88"/>
      <c r="P77" s="88"/>
      <c r="Q77" s="88"/>
      <c r="U77" s="78"/>
    </row>
    <row r="78" spans="10:21" x14ac:dyDescent="0.2">
      <c r="J78" s="78"/>
      <c r="K78" s="88"/>
      <c r="P78" s="88"/>
      <c r="Q78" s="88"/>
      <c r="U78" s="78"/>
    </row>
    <row r="79" spans="10:21" x14ac:dyDescent="0.2">
      <c r="J79" s="78"/>
      <c r="K79" s="88"/>
      <c r="P79" s="88"/>
      <c r="Q79" s="88"/>
      <c r="U79" s="78"/>
    </row>
    <row r="80" spans="10:21" x14ac:dyDescent="0.2">
      <c r="J80" s="78"/>
      <c r="K80" s="88"/>
      <c r="P80" s="88"/>
      <c r="Q80" s="88"/>
      <c r="U80" s="78"/>
    </row>
    <row r="81" spans="10:21" x14ac:dyDescent="0.2">
      <c r="J81" s="78"/>
      <c r="K81" s="88"/>
      <c r="P81" s="88"/>
      <c r="Q81" s="88"/>
      <c r="U81" s="78"/>
    </row>
    <row r="82" spans="10:21" x14ac:dyDescent="0.2">
      <c r="J82" s="78"/>
      <c r="K82" s="88"/>
      <c r="P82" s="88"/>
      <c r="Q82" s="88"/>
      <c r="U82" s="78"/>
    </row>
    <row r="83" spans="10:21" x14ac:dyDescent="0.2">
      <c r="J83" s="78"/>
      <c r="K83" s="88"/>
      <c r="U83" s="78"/>
    </row>
    <row r="84" spans="10:21" x14ac:dyDescent="0.2">
      <c r="J84" s="78"/>
      <c r="K84" s="88"/>
      <c r="U84" s="78"/>
    </row>
    <row r="85" spans="10:21" x14ac:dyDescent="0.2">
      <c r="J85" s="78"/>
      <c r="K85" s="88"/>
      <c r="U85" s="78"/>
    </row>
    <row r="86" spans="10:21" x14ac:dyDescent="0.2">
      <c r="J86" s="78"/>
      <c r="K86" s="88"/>
      <c r="U86" s="78"/>
    </row>
    <row r="87" spans="10:21" x14ac:dyDescent="0.2">
      <c r="J87" s="78"/>
      <c r="K87" s="88"/>
      <c r="U87" s="78"/>
    </row>
    <row r="88" spans="10:21" x14ac:dyDescent="0.2">
      <c r="J88" s="78"/>
      <c r="K88" s="88"/>
      <c r="U88" s="78"/>
    </row>
    <row r="89" spans="10:21" x14ac:dyDescent="0.2">
      <c r="J89" s="78"/>
      <c r="K89" s="88"/>
      <c r="U89" s="78"/>
    </row>
    <row r="90" spans="10:21" x14ac:dyDescent="0.2">
      <c r="J90" s="78"/>
      <c r="K90" s="88"/>
      <c r="U90" s="78"/>
    </row>
    <row r="91" spans="10:21" x14ac:dyDescent="0.2">
      <c r="J91" s="78"/>
      <c r="K91" s="88"/>
      <c r="U91" s="78"/>
    </row>
    <row r="92" spans="10:21" x14ac:dyDescent="0.2">
      <c r="J92" s="78"/>
      <c r="K92" s="88"/>
      <c r="U92" s="78"/>
    </row>
    <row r="93" spans="10:21" x14ac:dyDescent="0.2">
      <c r="J93" s="78"/>
      <c r="K93" s="88"/>
      <c r="U93" s="78"/>
    </row>
    <row r="94" spans="10:21" x14ac:dyDescent="0.2">
      <c r="J94" s="78"/>
      <c r="K94" s="88"/>
      <c r="U94" s="78"/>
    </row>
    <row r="95" spans="10:21" x14ac:dyDescent="0.2">
      <c r="J95" s="78"/>
      <c r="K95" s="88"/>
      <c r="U95" s="78"/>
    </row>
    <row r="96" spans="10:21" x14ac:dyDescent="0.2">
      <c r="U96" s="78"/>
    </row>
    <row r="97" spans="21:21" x14ac:dyDescent="0.2">
      <c r="U97" s="78"/>
    </row>
    <row r="98" spans="21:21" x14ac:dyDescent="0.2">
      <c r="U98" s="78"/>
    </row>
    <row r="99" spans="21:21" x14ac:dyDescent="0.2">
      <c r="U99" s="78"/>
    </row>
    <row r="100" spans="21:21" x14ac:dyDescent="0.2">
      <c r="U100" s="78"/>
    </row>
    <row r="101" spans="21:21" x14ac:dyDescent="0.2">
      <c r="U101" s="78"/>
    </row>
    <row r="102" spans="21:21" x14ac:dyDescent="0.2">
      <c r="U102" s="78"/>
    </row>
    <row r="103" spans="21:21" x14ac:dyDescent="0.2">
      <c r="U103" s="78"/>
    </row>
    <row r="104" spans="21:21" x14ac:dyDescent="0.2">
      <c r="U104" s="78"/>
    </row>
    <row r="105" spans="21:21" x14ac:dyDescent="0.2">
      <c r="U105" s="78"/>
    </row>
    <row r="106" spans="21:21" x14ac:dyDescent="0.2">
      <c r="U106" s="78"/>
    </row>
    <row r="107" spans="21:21" x14ac:dyDescent="0.2">
      <c r="U107" s="78"/>
    </row>
    <row r="108" spans="21:21" x14ac:dyDescent="0.2">
      <c r="U108" s="78"/>
    </row>
    <row r="109" spans="21:21" x14ac:dyDescent="0.2">
      <c r="U109" s="78"/>
    </row>
    <row r="110" spans="21:21" x14ac:dyDescent="0.2">
      <c r="U110" s="78"/>
    </row>
    <row r="111" spans="21:21" x14ac:dyDescent="0.2">
      <c r="U111" s="78"/>
    </row>
    <row r="112" spans="21:21" x14ac:dyDescent="0.2">
      <c r="U112" s="78"/>
    </row>
    <row r="113" spans="21:21" x14ac:dyDescent="0.2">
      <c r="U113" s="78"/>
    </row>
    <row r="114" spans="21:21" x14ac:dyDescent="0.2">
      <c r="U114" s="78"/>
    </row>
    <row r="115" spans="21:21" x14ac:dyDescent="0.2">
      <c r="U115" s="78"/>
    </row>
    <row r="116" spans="21:21" x14ac:dyDescent="0.2">
      <c r="U116" s="78"/>
    </row>
    <row r="117" spans="21:21" x14ac:dyDescent="0.2">
      <c r="U117" s="78"/>
    </row>
    <row r="118" spans="21:21" x14ac:dyDescent="0.2">
      <c r="U118" s="78"/>
    </row>
    <row r="119" spans="21:21" x14ac:dyDescent="0.2">
      <c r="U119" s="78"/>
    </row>
    <row r="120" spans="21:21" x14ac:dyDescent="0.2">
      <c r="U120" s="78"/>
    </row>
    <row r="121" spans="21:21" x14ac:dyDescent="0.2">
      <c r="U121" s="78"/>
    </row>
    <row r="122" spans="21:21" x14ac:dyDescent="0.2">
      <c r="U122" s="78"/>
    </row>
    <row r="123" spans="21:21" x14ac:dyDescent="0.2">
      <c r="U123" s="78"/>
    </row>
    <row r="124" spans="21:21" x14ac:dyDescent="0.2">
      <c r="U124" s="78"/>
    </row>
    <row r="125" spans="21:21" x14ac:dyDescent="0.2">
      <c r="U125" s="78"/>
    </row>
    <row r="126" spans="21:21" x14ac:dyDescent="0.2">
      <c r="U126" s="78"/>
    </row>
    <row r="127" spans="21:21" x14ac:dyDescent="0.2">
      <c r="U127" s="78"/>
    </row>
    <row r="128" spans="21:21" x14ac:dyDescent="0.2">
      <c r="U128" s="78"/>
    </row>
    <row r="129" spans="21:21" x14ac:dyDescent="0.2">
      <c r="U129" s="78"/>
    </row>
    <row r="130" spans="21:21" x14ac:dyDescent="0.2">
      <c r="U130" s="78"/>
    </row>
    <row r="131" spans="21:21" x14ac:dyDescent="0.2">
      <c r="U131" s="78"/>
    </row>
    <row r="132" spans="21:21" x14ac:dyDescent="0.2">
      <c r="U132" s="78"/>
    </row>
    <row r="133" spans="21:21" x14ac:dyDescent="0.2">
      <c r="U133" s="78"/>
    </row>
    <row r="134" spans="21:21" x14ac:dyDescent="0.2">
      <c r="U134" s="78"/>
    </row>
    <row r="135" spans="21:21" x14ac:dyDescent="0.2">
      <c r="U135" s="78"/>
    </row>
    <row r="136" spans="21:21" x14ac:dyDescent="0.2">
      <c r="U136" s="78"/>
    </row>
    <row r="137" spans="21:21" x14ac:dyDescent="0.2">
      <c r="U137" s="78"/>
    </row>
    <row r="138" spans="21:21" x14ac:dyDescent="0.2">
      <c r="U138" s="78"/>
    </row>
    <row r="139" spans="21:21" x14ac:dyDescent="0.2">
      <c r="U139" s="78"/>
    </row>
    <row r="140" spans="21:21" x14ac:dyDescent="0.2">
      <c r="U140" s="78"/>
    </row>
    <row r="141" spans="21:21" x14ac:dyDescent="0.2">
      <c r="U141" s="78"/>
    </row>
    <row r="142" spans="21:21" x14ac:dyDescent="0.2">
      <c r="U142" s="78"/>
    </row>
    <row r="143" spans="21:21" x14ac:dyDescent="0.2">
      <c r="U143" s="78"/>
    </row>
    <row r="144" spans="21:21" x14ac:dyDescent="0.2">
      <c r="U144" s="78"/>
    </row>
    <row r="145" spans="21:21" x14ac:dyDescent="0.2">
      <c r="U145" s="78"/>
    </row>
    <row r="146" spans="21:21" x14ac:dyDescent="0.2">
      <c r="U146" s="78"/>
    </row>
    <row r="147" spans="21:21" x14ac:dyDescent="0.2">
      <c r="U147" s="78"/>
    </row>
    <row r="148" spans="21:21" x14ac:dyDescent="0.2">
      <c r="U148" s="78"/>
    </row>
    <row r="149" spans="21:21" x14ac:dyDescent="0.2">
      <c r="U149" s="78"/>
    </row>
    <row r="150" spans="21:21" x14ac:dyDescent="0.2">
      <c r="U150" s="78"/>
    </row>
    <row r="151" spans="21:21" x14ac:dyDescent="0.2">
      <c r="U151" s="78"/>
    </row>
    <row r="152" spans="21:21" x14ac:dyDescent="0.2">
      <c r="U152" s="78"/>
    </row>
    <row r="153" spans="21:21" x14ac:dyDescent="0.2">
      <c r="U153" s="78"/>
    </row>
    <row r="154" spans="21:21" x14ac:dyDescent="0.2">
      <c r="U154" s="78"/>
    </row>
    <row r="155" spans="21:21" x14ac:dyDescent="0.2">
      <c r="U155" s="78"/>
    </row>
    <row r="156" spans="21:21" x14ac:dyDescent="0.2">
      <c r="U156" s="78"/>
    </row>
    <row r="157" spans="21:21" x14ac:dyDescent="0.2">
      <c r="U157" s="78"/>
    </row>
    <row r="158" spans="21:21" x14ac:dyDescent="0.2">
      <c r="U158" s="78"/>
    </row>
    <row r="159" spans="21:21" x14ac:dyDescent="0.2">
      <c r="U159" s="78"/>
    </row>
    <row r="160" spans="21:21" x14ac:dyDescent="0.2">
      <c r="U160" s="78"/>
    </row>
    <row r="161" spans="21:21" x14ac:dyDescent="0.2">
      <c r="U161" s="78"/>
    </row>
    <row r="162" spans="21:21" x14ac:dyDescent="0.2">
      <c r="U162" s="78"/>
    </row>
    <row r="163" spans="21:21" x14ac:dyDescent="0.2">
      <c r="U163" s="78"/>
    </row>
    <row r="164" spans="21:21" x14ac:dyDescent="0.2">
      <c r="U164" s="78"/>
    </row>
    <row r="165" spans="21:21" x14ac:dyDescent="0.2">
      <c r="U165" s="78"/>
    </row>
    <row r="166" spans="21:21" x14ac:dyDescent="0.2">
      <c r="U166" s="78"/>
    </row>
    <row r="167" spans="21:21" x14ac:dyDescent="0.2">
      <c r="U167" s="78"/>
    </row>
    <row r="168" spans="21:21" x14ac:dyDescent="0.2">
      <c r="U168" s="78"/>
    </row>
    <row r="169" spans="21:21" x14ac:dyDescent="0.2">
      <c r="U169" s="78"/>
    </row>
    <row r="170" spans="21:21" x14ac:dyDescent="0.2">
      <c r="U170" s="78"/>
    </row>
    <row r="171" spans="21:21" x14ac:dyDescent="0.2">
      <c r="U171" s="78"/>
    </row>
    <row r="172" spans="21:21" x14ac:dyDescent="0.2">
      <c r="U172" s="78"/>
    </row>
    <row r="173" spans="21:21" x14ac:dyDescent="0.2">
      <c r="U173" s="78"/>
    </row>
    <row r="174" spans="21:21" x14ac:dyDescent="0.2">
      <c r="U174" s="78"/>
    </row>
    <row r="175" spans="21:21" x14ac:dyDescent="0.2">
      <c r="U175" s="78"/>
    </row>
    <row r="176" spans="21:21" x14ac:dyDescent="0.2">
      <c r="U176" s="78"/>
    </row>
    <row r="177" spans="21:21" x14ac:dyDescent="0.2">
      <c r="U177" s="78"/>
    </row>
    <row r="178" spans="21:21" x14ac:dyDescent="0.2">
      <c r="U178" s="78"/>
    </row>
    <row r="179" spans="21:21" x14ac:dyDescent="0.2">
      <c r="U179" s="78"/>
    </row>
    <row r="180" spans="21:21" x14ac:dyDescent="0.2">
      <c r="U180" s="78"/>
    </row>
    <row r="181" spans="21:21" x14ac:dyDescent="0.2">
      <c r="U181" s="78"/>
    </row>
    <row r="182" spans="21:21" x14ac:dyDescent="0.2">
      <c r="U182" s="78"/>
    </row>
    <row r="183" spans="21:21" x14ac:dyDescent="0.2">
      <c r="U183" s="78"/>
    </row>
    <row r="184" spans="21:21" x14ac:dyDescent="0.2">
      <c r="U184" s="78"/>
    </row>
    <row r="185" spans="21:21" x14ac:dyDescent="0.2">
      <c r="U185" s="78"/>
    </row>
    <row r="186" spans="21:21" x14ac:dyDescent="0.2">
      <c r="U186" s="78"/>
    </row>
    <row r="187" spans="21:21" x14ac:dyDescent="0.2">
      <c r="U187" s="78"/>
    </row>
    <row r="188" spans="21:21" x14ac:dyDescent="0.2">
      <c r="U188" s="78"/>
    </row>
    <row r="189" spans="21:21" x14ac:dyDescent="0.2">
      <c r="U189" s="78"/>
    </row>
    <row r="190" spans="21:21" x14ac:dyDescent="0.2">
      <c r="U190" s="78"/>
    </row>
    <row r="191" spans="21:21" x14ac:dyDescent="0.2">
      <c r="U191" s="78"/>
    </row>
    <row r="192" spans="21:21" x14ac:dyDescent="0.2">
      <c r="U192" s="78"/>
    </row>
    <row r="193" spans="21:21" x14ac:dyDescent="0.2">
      <c r="U193" s="78"/>
    </row>
    <row r="194" spans="21:21" x14ac:dyDescent="0.2">
      <c r="U194" s="78"/>
    </row>
    <row r="195" spans="21:21" x14ac:dyDescent="0.2">
      <c r="U195" s="78"/>
    </row>
    <row r="196" spans="21:21" x14ac:dyDescent="0.2">
      <c r="U196" s="78"/>
    </row>
    <row r="197" spans="21:21" x14ac:dyDescent="0.2">
      <c r="U197" s="78"/>
    </row>
    <row r="198" spans="21:21" x14ac:dyDescent="0.2">
      <c r="U198" s="78"/>
    </row>
    <row r="199" spans="21:21" x14ac:dyDescent="0.2">
      <c r="U199" s="78"/>
    </row>
    <row r="200" spans="21:21" x14ac:dyDescent="0.2">
      <c r="U200" s="78"/>
    </row>
    <row r="201" spans="21:21" x14ac:dyDescent="0.2">
      <c r="U201" s="78"/>
    </row>
    <row r="202" spans="21:21" x14ac:dyDescent="0.2">
      <c r="U202" s="78"/>
    </row>
    <row r="203" spans="21:21" x14ac:dyDescent="0.2">
      <c r="U203" s="78"/>
    </row>
    <row r="204" spans="21:21" x14ac:dyDescent="0.2">
      <c r="U204" s="78"/>
    </row>
    <row r="205" spans="21:21" x14ac:dyDescent="0.2">
      <c r="U205" s="78"/>
    </row>
    <row r="206" spans="21:21" x14ac:dyDescent="0.2">
      <c r="U206" s="78"/>
    </row>
    <row r="207" spans="21:21" x14ac:dyDescent="0.2">
      <c r="U207" s="78"/>
    </row>
    <row r="208" spans="21:21" x14ac:dyDescent="0.2">
      <c r="U208" s="78"/>
    </row>
    <row r="209" spans="21:21" x14ac:dyDescent="0.2">
      <c r="U209" s="78"/>
    </row>
    <row r="210" spans="21:21" x14ac:dyDescent="0.2">
      <c r="U210" s="78"/>
    </row>
    <row r="211" spans="21:21" x14ac:dyDescent="0.2">
      <c r="U211" s="78"/>
    </row>
    <row r="212" spans="21:21" x14ac:dyDescent="0.2">
      <c r="U212" s="78"/>
    </row>
    <row r="213" spans="21:21" x14ac:dyDescent="0.2">
      <c r="U213" s="78"/>
    </row>
    <row r="214" spans="21:21" x14ac:dyDescent="0.2">
      <c r="U214" s="78"/>
    </row>
    <row r="215" spans="21:21" x14ac:dyDescent="0.2">
      <c r="U215" s="78"/>
    </row>
    <row r="216" spans="21:21" x14ac:dyDescent="0.2">
      <c r="U216" s="78"/>
    </row>
    <row r="217" spans="21:21" x14ac:dyDescent="0.2">
      <c r="U217" s="78"/>
    </row>
    <row r="218" spans="21:21" x14ac:dyDescent="0.2">
      <c r="U218" s="78"/>
    </row>
    <row r="219" spans="21:21" x14ac:dyDescent="0.2">
      <c r="U219" s="78"/>
    </row>
    <row r="220" spans="21:21" x14ac:dyDescent="0.2">
      <c r="U220" s="78"/>
    </row>
    <row r="221" spans="21:21" x14ac:dyDescent="0.2">
      <c r="U221" s="78"/>
    </row>
    <row r="222" spans="21:21" x14ac:dyDescent="0.2">
      <c r="U222" s="78"/>
    </row>
    <row r="223" spans="21:21" x14ac:dyDescent="0.2">
      <c r="U223" s="78"/>
    </row>
    <row r="224" spans="21:21" x14ac:dyDescent="0.2">
      <c r="U224" s="78"/>
    </row>
    <row r="225" spans="21:21" x14ac:dyDescent="0.2">
      <c r="U225" s="78"/>
    </row>
    <row r="226" spans="21:21" x14ac:dyDescent="0.2">
      <c r="U226" s="78"/>
    </row>
    <row r="227" spans="21:21" x14ac:dyDescent="0.2">
      <c r="U227" s="78"/>
    </row>
    <row r="228" spans="21:21" x14ac:dyDescent="0.2">
      <c r="U228" s="78"/>
    </row>
    <row r="229" spans="21:21" x14ac:dyDescent="0.2">
      <c r="U229" s="78"/>
    </row>
    <row r="230" spans="21:21" x14ac:dyDescent="0.2">
      <c r="U230" s="78"/>
    </row>
    <row r="231" spans="21:21" x14ac:dyDescent="0.2">
      <c r="U231" s="78"/>
    </row>
    <row r="232" spans="21:21" x14ac:dyDescent="0.2">
      <c r="U232" s="78"/>
    </row>
    <row r="233" spans="21:21" x14ac:dyDescent="0.2">
      <c r="U233" s="78"/>
    </row>
    <row r="234" spans="21:21" x14ac:dyDescent="0.2">
      <c r="U234" s="78"/>
    </row>
    <row r="235" spans="21:21" x14ac:dyDescent="0.2">
      <c r="U235" s="78"/>
    </row>
    <row r="236" spans="21:21" x14ac:dyDescent="0.2">
      <c r="U236" s="78"/>
    </row>
    <row r="237" spans="21:21" x14ac:dyDescent="0.2">
      <c r="U237" s="78"/>
    </row>
    <row r="238" spans="21:21" x14ac:dyDescent="0.2">
      <c r="U238" s="78"/>
    </row>
    <row r="239" spans="21:21" x14ac:dyDescent="0.2">
      <c r="U239" s="78"/>
    </row>
    <row r="240" spans="21:21" x14ac:dyDescent="0.2">
      <c r="U240" s="78"/>
    </row>
    <row r="241" spans="21:21" x14ac:dyDescent="0.2">
      <c r="U241" s="78"/>
    </row>
    <row r="242" spans="21:21" x14ac:dyDescent="0.2">
      <c r="U242" s="78"/>
    </row>
    <row r="243" spans="21:21" x14ac:dyDescent="0.2">
      <c r="U243" s="78"/>
    </row>
    <row r="244" spans="21:21" x14ac:dyDescent="0.2">
      <c r="U244" s="78"/>
    </row>
    <row r="245" spans="21:21" x14ac:dyDescent="0.2">
      <c r="U245" s="78"/>
    </row>
    <row r="246" spans="21:21" x14ac:dyDescent="0.2">
      <c r="U246" s="78"/>
    </row>
    <row r="247" spans="21:21" x14ac:dyDescent="0.2">
      <c r="U247" s="78"/>
    </row>
    <row r="248" spans="21:21" x14ac:dyDescent="0.2">
      <c r="U248" s="78"/>
    </row>
    <row r="249" spans="21:21" x14ac:dyDescent="0.2">
      <c r="U249" s="78"/>
    </row>
    <row r="250" spans="21:21" x14ac:dyDescent="0.2">
      <c r="U250" s="78"/>
    </row>
    <row r="251" spans="21:21" x14ac:dyDescent="0.2">
      <c r="U251" s="78"/>
    </row>
    <row r="252" spans="21:21" x14ac:dyDescent="0.2">
      <c r="U252" s="78"/>
    </row>
    <row r="253" spans="21:21" x14ac:dyDescent="0.2">
      <c r="U253" s="78"/>
    </row>
    <row r="254" spans="21:21" x14ac:dyDescent="0.2">
      <c r="U254" s="78"/>
    </row>
    <row r="255" spans="21:21" x14ac:dyDescent="0.2">
      <c r="U255" s="78"/>
    </row>
    <row r="256" spans="21:21" x14ac:dyDescent="0.2">
      <c r="U256" s="78"/>
    </row>
    <row r="257" spans="21:21" x14ac:dyDescent="0.2">
      <c r="U257" s="78"/>
    </row>
    <row r="258" spans="21:21" x14ac:dyDescent="0.2">
      <c r="U258" s="78"/>
    </row>
    <row r="259" spans="21:21" x14ac:dyDescent="0.2">
      <c r="U259" s="78"/>
    </row>
    <row r="260" spans="21:21" x14ac:dyDescent="0.2">
      <c r="U260" s="78"/>
    </row>
    <row r="261" spans="21:21" x14ac:dyDescent="0.2">
      <c r="U261" s="78"/>
    </row>
    <row r="262" spans="21:21" x14ac:dyDescent="0.2">
      <c r="U262" s="78"/>
    </row>
    <row r="263" spans="21:21" x14ac:dyDescent="0.2">
      <c r="U263" s="78"/>
    </row>
    <row r="264" spans="21:21" x14ac:dyDescent="0.2">
      <c r="U264" s="78"/>
    </row>
    <row r="265" spans="21:21" x14ac:dyDescent="0.2">
      <c r="U265" s="78"/>
    </row>
    <row r="266" spans="21:21" x14ac:dyDescent="0.2">
      <c r="U266" s="78"/>
    </row>
    <row r="267" spans="21:21" x14ac:dyDescent="0.2">
      <c r="U267" s="78"/>
    </row>
    <row r="268" spans="21:21" x14ac:dyDescent="0.2">
      <c r="U268" s="78"/>
    </row>
    <row r="269" spans="21:21" x14ac:dyDescent="0.2">
      <c r="U269" s="78"/>
    </row>
    <row r="270" spans="21:21" x14ac:dyDescent="0.2">
      <c r="U270" s="78"/>
    </row>
    <row r="271" spans="21:21" x14ac:dyDescent="0.2">
      <c r="U271" s="78"/>
    </row>
    <row r="272" spans="21:21" x14ac:dyDescent="0.2">
      <c r="U272" s="78"/>
    </row>
    <row r="273" spans="21:21" x14ac:dyDescent="0.2">
      <c r="U273" s="78"/>
    </row>
    <row r="274" spans="21:21" x14ac:dyDescent="0.2">
      <c r="U274" s="78"/>
    </row>
    <row r="275" spans="21:21" x14ac:dyDescent="0.2">
      <c r="U275" s="78"/>
    </row>
    <row r="276" spans="21:21" x14ac:dyDescent="0.2">
      <c r="U276" s="78"/>
    </row>
    <row r="277" spans="21:21" x14ac:dyDescent="0.2">
      <c r="U277" s="78"/>
    </row>
    <row r="278" spans="21:21" x14ac:dyDescent="0.2">
      <c r="U278" s="78"/>
    </row>
    <row r="279" spans="21:21" x14ac:dyDescent="0.2">
      <c r="U279" s="78"/>
    </row>
    <row r="280" spans="21:21" x14ac:dyDescent="0.2">
      <c r="U280" s="78"/>
    </row>
    <row r="281" spans="21:21" x14ac:dyDescent="0.2">
      <c r="U281" s="78"/>
    </row>
    <row r="282" spans="21:21" x14ac:dyDescent="0.2">
      <c r="U282" s="78"/>
    </row>
    <row r="283" spans="21:21" x14ac:dyDescent="0.2">
      <c r="U283" s="78"/>
    </row>
    <row r="284" spans="21:21" x14ac:dyDescent="0.2">
      <c r="U284" s="78"/>
    </row>
    <row r="285" spans="21:21" x14ac:dyDescent="0.2">
      <c r="U285" s="78"/>
    </row>
    <row r="286" spans="21:21" x14ac:dyDescent="0.2">
      <c r="U286" s="78"/>
    </row>
    <row r="287" spans="21:21" x14ac:dyDescent="0.2">
      <c r="U287" s="78"/>
    </row>
    <row r="288" spans="21:21" x14ac:dyDescent="0.2">
      <c r="U288" s="78"/>
    </row>
    <row r="289" spans="21:21" x14ac:dyDescent="0.2">
      <c r="U289" s="78"/>
    </row>
    <row r="290" spans="21:21" x14ac:dyDescent="0.2">
      <c r="U290" s="78"/>
    </row>
    <row r="291" spans="21:21" x14ac:dyDescent="0.2">
      <c r="U291" s="78"/>
    </row>
    <row r="292" spans="21:21" x14ac:dyDescent="0.2">
      <c r="U292" s="78"/>
    </row>
    <row r="293" spans="21:21" x14ac:dyDescent="0.2">
      <c r="U293" s="78"/>
    </row>
    <row r="294" spans="21:21" x14ac:dyDescent="0.2">
      <c r="U294" s="78"/>
    </row>
    <row r="295" spans="21:21" x14ac:dyDescent="0.2">
      <c r="U295" s="78"/>
    </row>
    <row r="296" spans="21:21" x14ac:dyDescent="0.2">
      <c r="U296" s="78"/>
    </row>
    <row r="297" spans="21:21" x14ac:dyDescent="0.2">
      <c r="U297" s="78"/>
    </row>
    <row r="298" spans="21:21" x14ac:dyDescent="0.2">
      <c r="U298" s="78"/>
    </row>
    <row r="299" spans="21:21" x14ac:dyDescent="0.2">
      <c r="U299" s="78"/>
    </row>
    <row r="300" spans="21:21" x14ac:dyDescent="0.2">
      <c r="U300" s="78"/>
    </row>
    <row r="301" spans="21:21" x14ac:dyDescent="0.2">
      <c r="U301" s="78"/>
    </row>
    <row r="302" spans="21:21" x14ac:dyDescent="0.2">
      <c r="U302" s="78"/>
    </row>
    <row r="303" spans="21:21" x14ac:dyDescent="0.2">
      <c r="U303" s="78"/>
    </row>
    <row r="304" spans="21:21" x14ac:dyDescent="0.2">
      <c r="U304" s="78"/>
    </row>
    <row r="305" spans="21:21" x14ac:dyDescent="0.2">
      <c r="U305" s="78"/>
    </row>
    <row r="306" spans="21:21" x14ac:dyDescent="0.2">
      <c r="U306" s="78"/>
    </row>
    <row r="307" spans="21:21" x14ac:dyDescent="0.2">
      <c r="U307" s="78"/>
    </row>
    <row r="308" spans="21:21" x14ac:dyDescent="0.2">
      <c r="U308" s="78"/>
    </row>
    <row r="309" spans="21:21" x14ac:dyDescent="0.2">
      <c r="U309" s="78"/>
    </row>
    <row r="310" spans="21:21" x14ac:dyDescent="0.2">
      <c r="U310" s="78"/>
    </row>
    <row r="311" spans="21:21" x14ac:dyDescent="0.2">
      <c r="U311" s="78"/>
    </row>
    <row r="312" spans="21:21" x14ac:dyDescent="0.2">
      <c r="U312" s="78"/>
    </row>
    <row r="313" spans="21:21" x14ac:dyDescent="0.2">
      <c r="U313" s="78"/>
    </row>
    <row r="314" spans="21:21" x14ac:dyDescent="0.2">
      <c r="U314" s="78"/>
    </row>
    <row r="315" spans="21:21" x14ac:dyDescent="0.2">
      <c r="U315" s="78"/>
    </row>
    <row r="316" spans="21:21" x14ac:dyDescent="0.2">
      <c r="U316" s="78"/>
    </row>
    <row r="317" spans="21:21" x14ac:dyDescent="0.2">
      <c r="U317" s="78"/>
    </row>
    <row r="318" spans="21:21" x14ac:dyDescent="0.2">
      <c r="U318" s="78"/>
    </row>
    <row r="319" spans="21:21" x14ac:dyDescent="0.2">
      <c r="U319" s="78"/>
    </row>
    <row r="320" spans="21:21" x14ac:dyDescent="0.2">
      <c r="U320" s="78"/>
    </row>
    <row r="321" spans="21:21" x14ac:dyDescent="0.2">
      <c r="U321" s="78"/>
    </row>
    <row r="322" spans="21:21" x14ac:dyDescent="0.2">
      <c r="U322" s="78"/>
    </row>
    <row r="323" spans="21:21" x14ac:dyDescent="0.2">
      <c r="U323" s="78"/>
    </row>
    <row r="324" spans="21:21" x14ac:dyDescent="0.2">
      <c r="U324" s="78"/>
    </row>
    <row r="325" spans="21:21" x14ac:dyDescent="0.2">
      <c r="U325" s="78"/>
    </row>
    <row r="326" spans="21:21" x14ac:dyDescent="0.2">
      <c r="U326" s="78"/>
    </row>
    <row r="327" spans="21:21" x14ac:dyDescent="0.2">
      <c r="U327" s="78"/>
    </row>
    <row r="328" spans="21:21" x14ac:dyDescent="0.2">
      <c r="U328" s="78"/>
    </row>
    <row r="329" spans="21:21" x14ac:dyDescent="0.2">
      <c r="U329" s="78"/>
    </row>
    <row r="330" spans="21:21" x14ac:dyDescent="0.2">
      <c r="U330" s="78"/>
    </row>
    <row r="331" spans="21:21" x14ac:dyDescent="0.2">
      <c r="U331" s="78"/>
    </row>
    <row r="332" spans="21:21" x14ac:dyDescent="0.2">
      <c r="U332" s="78"/>
    </row>
    <row r="333" spans="21:21" x14ac:dyDescent="0.2">
      <c r="U333" s="78"/>
    </row>
    <row r="334" spans="21:21" x14ac:dyDescent="0.2">
      <c r="U334" s="78"/>
    </row>
    <row r="335" spans="21:21" x14ac:dyDescent="0.2">
      <c r="U335" s="78"/>
    </row>
    <row r="336" spans="21:21" x14ac:dyDescent="0.2">
      <c r="U336" s="78"/>
    </row>
    <row r="337" spans="21:21" x14ac:dyDescent="0.2">
      <c r="U337" s="78"/>
    </row>
    <row r="338" spans="21:21" x14ac:dyDescent="0.2">
      <c r="U338" s="78"/>
    </row>
    <row r="339" spans="21:21" x14ac:dyDescent="0.2">
      <c r="U339" s="78"/>
    </row>
    <row r="340" spans="21:21" x14ac:dyDescent="0.2">
      <c r="U340" s="78"/>
    </row>
    <row r="341" spans="21:21" x14ac:dyDescent="0.2">
      <c r="U341" s="78"/>
    </row>
    <row r="342" spans="21:21" x14ac:dyDescent="0.2">
      <c r="U342" s="78"/>
    </row>
    <row r="343" spans="21:21" x14ac:dyDescent="0.2">
      <c r="U343" s="78"/>
    </row>
    <row r="344" spans="21:21" x14ac:dyDescent="0.2">
      <c r="U344" s="78"/>
    </row>
    <row r="345" spans="21:21" x14ac:dyDescent="0.2">
      <c r="U345" s="78"/>
    </row>
    <row r="346" spans="21:21" x14ac:dyDescent="0.2">
      <c r="U346" s="78"/>
    </row>
    <row r="347" spans="21:21" x14ac:dyDescent="0.2">
      <c r="U347" s="78"/>
    </row>
    <row r="348" spans="21:21" x14ac:dyDescent="0.2">
      <c r="U348" s="78"/>
    </row>
    <row r="349" spans="21:21" x14ac:dyDescent="0.2">
      <c r="U349" s="78"/>
    </row>
    <row r="350" spans="21:21" x14ac:dyDescent="0.2">
      <c r="U350" s="78"/>
    </row>
    <row r="351" spans="21:21" x14ac:dyDescent="0.2">
      <c r="U351" s="78"/>
    </row>
    <row r="352" spans="21:21" x14ac:dyDescent="0.2">
      <c r="U352" s="78"/>
    </row>
    <row r="353" spans="21:21" x14ac:dyDescent="0.2">
      <c r="U353" s="78"/>
    </row>
    <row r="354" spans="21:21" x14ac:dyDescent="0.2">
      <c r="U354" s="78"/>
    </row>
    <row r="355" spans="21:21" x14ac:dyDescent="0.2">
      <c r="U355" s="78"/>
    </row>
    <row r="356" spans="21:21" x14ac:dyDescent="0.2">
      <c r="U356" s="78"/>
    </row>
    <row r="357" spans="21:21" x14ac:dyDescent="0.2">
      <c r="U357" s="78"/>
    </row>
    <row r="358" spans="21:21" x14ac:dyDescent="0.2">
      <c r="U358" s="78"/>
    </row>
    <row r="359" spans="21:21" x14ac:dyDescent="0.2">
      <c r="U359" s="78"/>
    </row>
    <row r="360" spans="21:21" x14ac:dyDescent="0.2">
      <c r="U360" s="78"/>
    </row>
    <row r="361" spans="21:21" x14ac:dyDescent="0.2">
      <c r="U361" s="78"/>
    </row>
    <row r="362" spans="21:21" x14ac:dyDescent="0.2">
      <c r="U362" s="78"/>
    </row>
    <row r="363" spans="21:21" x14ac:dyDescent="0.2">
      <c r="U363" s="78"/>
    </row>
    <row r="364" spans="21:21" x14ac:dyDescent="0.2">
      <c r="U364" s="78"/>
    </row>
    <row r="365" spans="21:21" x14ac:dyDescent="0.2">
      <c r="U365" s="78"/>
    </row>
    <row r="366" spans="21:21" x14ac:dyDescent="0.2">
      <c r="U366" s="78"/>
    </row>
    <row r="367" spans="21:21" x14ac:dyDescent="0.2">
      <c r="U367" s="78"/>
    </row>
    <row r="368" spans="21:21" x14ac:dyDescent="0.2">
      <c r="U368" s="78"/>
    </row>
    <row r="369" spans="21:21" x14ac:dyDescent="0.2">
      <c r="U369" s="78"/>
    </row>
    <row r="370" spans="21:21" x14ac:dyDescent="0.2">
      <c r="U370" s="78"/>
    </row>
    <row r="371" spans="21:21" x14ac:dyDescent="0.2">
      <c r="U371" s="78"/>
    </row>
    <row r="372" spans="21:21" x14ac:dyDescent="0.2">
      <c r="U372" s="78"/>
    </row>
    <row r="373" spans="21:21" x14ac:dyDescent="0.2">
      <c r="U373" s="78"/>
    </row>
    <row r="374" spans="21:21" x14ac:dyDescent="0.2">
      <c r="U374" s="78"/>
    </row>
    <row r="375" spans="21:21" x14ac:dyDescent="0.2">
      <c r="U375" s="78"/>
    </row>
    <row r="376" spans="21:21" x14ac:dyDescent="0.2">
      <c r="U376" s="78"/>
    </row>
    <row r="377" spans="21:21" x14ac:dyDescent="0.2">
      <c r="U377" s="78"/>
    </row>
    <row r="378" spans="21:21" x14ac:dyDescent="0.2">
      <c r="U378" s="78"/>
    </row>
    <row r="379" spans="21:21" x14ac:dyDescent="0.2">
      <c r="U379" s="78"/>
    </row>
    <row r="380" spans="21:21" x14ac:dyDescent="0.2">
      <c r="U380" s="78"/>
    </row>
    <row r="381" spans="21:21" x14ac:dyDescent="0.2">
      <c r="U381" s="78"/>
    </row>
    <row r="382" spans="21:21" x14ac:dyDescent="0.2">
      <c r="U382" s="78"/>
    </row>
    <row r="383" spans="21:21" x14ac:dyDescent="0.2">
      <c r="U383" s="78"/>
    </row>
    <row r="384" spans="21:21" x14ac:dyDescent="0.2">
      <c r="U384" s="78"/>
    </row>
    <row r="385" spans="21:21" x14ac:dyDescent="0.2">
      <c r="U385" s="78"/>
    </row>
    <row r="386" spans="21:21" x14ac:dyDescent="0.2">
      <c r="U386" s="78"/>
    </row>
    <row r="387" spans="21:21" x14ac:dyDescent="0.2">
      <c r="U387" s="78"/>
    </row>
    <row r="388" spans="21:21" x14ac:dyDescent="0.2">
      <c r="U388" s="78"/>
    </row>
    <row r="389" spans="21:21" x14ac:dyDescent="0.2">
      <c r="U389" s="78"/>
    </row>
    <row r="390" spans="21:21" x14ac:dyDescent="0.2">
      <c r="U390" s="78"/>
    </row>
    <row r="391" spans="21:21" x14ac:dyDescent="0.2">
      <c r="U391" s="78"/>
    </row>
    <row r="392" spans="21:21" x14ac:dyDescent="0.2">
      <c r="U392" s="78"/>
    </row>
    <row r="393" spans="21:21" x14ac:dyDescent="0.2">
      <c r="U393" s="78"/>
    </row>
    <row r="394" spans="21:21" x14ac:dyDescent="0.2">
      <c r="U394" s="78"/>
    </row>
    <row r="395" spans="21:21" x14ac:dyDescent="0.2">
      <c r="U395" s="78"/>
    </row>
    <row r="396" spans="21:21" x14ac:dyDescent="0.2">
      <c r="U396" s="78"/>
    </row>
    <row r="397" spans="21:21" x14ac:dyDescent="0.2">
      <c r="U397" s="78"/>
    </row>
    <row r="398" spans="21:21" x14ac:dyDescent="0.2">
      <c r="U398" s="78"/>
    </row>
    <row r="399" spans="21:21" x14ac:dyDescent="0.2">
      <c r="U399" s="78"/>
    </row>
    <row r="400" spans="21:21" x14ac:dyDescent="0.2">
      <c r="U400" s="78"/>
    </row>
    <row r="401" spans="21:21" x14ac:dyDescent="0.2">
      <c r="U401" s="78"/>
    </row>
    <row r="402" spans="21:21" x14ac:dyDescent="0.2">
      <c r="U402" s="78"/>
    </row>
    <row r="403" spans="21:21" x14ac:dyDescent="0.2">
      <c r="U403" s="78"/>
    </row>
    <row r="404" spans="21:21" x14ac:dyDescent="0.2">
      <c r="U404" s="78"/>
    </row>
    <row r="405" spans="21:21" x14ac:dyDescent="0.2">
      <c r="U405" s="78"/>
    </row>
    <row r="406" spans="21:21" x14ac:dyDescent="0.2">
      <c r="U406" s="78"/>
    </row>
    <row r="407" spans="21:21" x14ac:dyDescent="0.2">
      <c r="U407" s="78"/>
    </row>
    <row r="408" spans="21:21" x14ac:dyDescent="0.2">
      <c r="U408" s="78"/>
    </row>
    <row r="409" spans="21:21" x14ac:dyDescent="0.2">
      <c r="U409" s="78"/>
    </row>
    <row r="410" spans="21:21" x14ac:dyDescent="0.2">
      <c r="U410" s="78"/>
    </row>
    <row r="411" spans="21:21" x14ac:dyDescent="0.2">
      <c r="U411" s="78"/>
    </row>
    <row r="412" spans="21:21" x14ac:dyDescent="0.2">
      <c r="U412" s="78"/>
    </row>
    <row r="413" spans="21:21" x14ac:dyDescent="0.2">
      <c r="U413" s="78"/>
    </row>
    <row r="414" spans="21:21" x14ac:dyDescent="0.2">
      <c r="U414" s="78"/>
    </row>
    <row r="415" spans="21:21" x14ac:dyDescent="0.2">
      <c r="U415" s="78"/>
    </row>
    <row r="416" spans="21:21" x14ac:dyDescent="0.2">
      <c r="U416" s="78"/>
    </row>
    <row r="417" spans="21:21" x14ac:dyDescent="0.2">
      <c r="U417" s="78"/>
    </row>
    <row r="418" spans="21:21" x14ac:dyDescent="0.2">
      <c r="U418" s="78"/>
    </row>
    <row r="419" spans="21:21" x14ac:dyDescent="0.2">
      <c r="U419" s="78"/>
    </row>
    <row r="420" spans="21:21" x14ac:dyDescent="0.2">
      <c r="U420" s="78"/>
    </row>
    <row r="421" spans="21:21" x14ac:dyDescent="0.2">
      <c r="U421" s="78"/>
    </row>
    <row r="422" spans="21:21" x14ac:dyDescent="0.2">
      <c r="U422" s="78"/>
    </row>
    <row r="423" spans="21:21" x14ac:dyDescent="0.2">
      <c r="U423" s="78"/>
    </row>
    <row r="424" spans="21:21" x14ac:dyDescent="0.2">
      <c r="U424" s="78"/>
    </row>
    <row r="425" spans="21:21" x14ac:dyDescent="0.2">
      <c r="U425" s="78"/>
    </row>
    <row r="426" spans="21:21" x14ac:dyDescent="0.2">
      <c r="U426" s="78"/>
    </row>
    <row r="427" spans="21:21" x14ac:dyDescent="0.2">
      <c r="U427" s="78"/>
    </row>
    <row r="428" spans="21:21" x14ac:dyDescent="0.2">
      <c r="U428" s="78"/>
    </row>
    <row r="429" spans="21:21" x14ac:dyDescent="0.2">
      <c r="U429" s="78"/>
    </row>
    <row r="430" spans="21:21" x14ac:dyDescent="0.2">
      <c r="U430" s="78"/>
    </row>
    <row r="431" spans="21:21" x14ac:dyDescent="0.2">
      <c r="U431" s="78"/>
    </row>
    <row r="432" spans="21:21" x14ac:dyDescent="0.2">
      <c r="U432" s="78"/>
    </row>
    <row r="433" spans="21:21" x14ac:dyDescent="0.2">
      <c r="U433" s="78"/>
    </row>
    <row r="434" spans="21:21" x14ac:dyDescent="0.2">
      <c r="U434" s="78"/>
    </row>
    <row r="435" spans="21:21" x14ac:dyDescent="0.2">
      <c r="U435" s="78"/>
    </row>
    <row r="436" spans="21:21" x14ac:dyDescent="0.2">
      <c r="U436" s="78"/>
    </row>
    <row r="437" spans="21:21" x14ac:dyDescent="0.2">
      <c r="U437" s="78"/>
    </row>
    <row r="438" spans="21:21" x14ac:dyDescent="0.2">
      <c r="U438" s="78"/>
    </row>
    <row r="439" spans="21:21" x14ac:dyDescent="0.2">
      <c r="U439" s="78"/>
    </row>
    <row r="440" spans="21:21" x14ac:dyDescent="0.2">
      <c r="U440" s="78"/>
    </row>
    <row r="441" spans="21:21" x14ac:dyDescent="0.2">
      <c r="U441" s="78"/>
    </row>
    <row r="442" spans="21:21" x14ac:dyDescent="0.2">
      <c r="U442" s="78"/>
    </row>
    <row r="443" spans="21:21" x14ac:dyDescent="0.2">
      <c r="U443" s="78"/>
    </row>
    <row r="444" spans="21:21" x14ac:dyDescent="0.2">
      <c r="U444" s="78"/>
    </row>
    <row r="445" spans="21:21" x14ac:dyDescent="0.2">
      <c r="U445" s="78"/>
    </row>
    <row r="446" spans="21:21" x14ac:dyDescent="0.2">
      <c r="U446" s="78"/>
    </row>
    <row r="447" spans="21:21" x14ac:dyDescent="0.2">
      <c r="U447" s="78"/>
    </row>
    <row r="448" spans="21:21" x14ac:dyDescent="0.2">
      <c r="U448" s="78"/>
    </row>
    <row r="449" spans="21:21" x14ac:dyDescent="0.2">
      <c r="U449" s="78"/>
    </row>
    <row r="450" spans="21:21" x14ac:dyDescent="0.2">
      <c r="U450" s="78"/>
    </row>
    <row r="451" spans="21:21" x14ac:dyDescent="0.2">
      <c r="U451" s="78"/>
    </row>
    <row r="452" spans="21:21" x14ac:dyDescent="0.2">
      <c r="U452" s="78"/>
    </row>
    <row r="453" spans="21:21" x14ac:dyDescent="0.2">
      <c r="U453" s="78"/>
    </row>
    <row r="454" spans="21:21" x14ac:dyDescent="0.2">
      <c r="U454" s="78"/>
    </row>
    <row r="455" spans="21:21" x14ac:dyDescent="0.2">
      <c r="U455" s="78"/>
    </row>
    <row r="456" spans="21:21" x14ac:dyDescent="0.2">
      <c r="U456" s="78"/>
    </row>
    <row r="457" spans="21:21" x14ac:dyDescent="0.2">
      <c r="U457" s="78"/>
    </row>
    <row r="458" spans="21:21" x14ac:dyDescent="0.2">
      <c r="U458" s="78"/>
    </row>
    <row r="459" spans="21:21" x14ac:dyDescent="0.2">
      <c r="U459" s="78"/>
    </row>
    <row r="460" spans="21:21" x14ac:dyDescent="0.2">
      <c r="U460" s="78"/>
    </row>
    <row r="461" spans="21:21" x14ac:dyDescent="0.2">
      <c r="U461" s="78"/>
    </row>
    <row r="462" spans="21:21" x14ac:dyDescent="0.2">
      <c r="U462" s="78"/>
    </row>
    <row r="463" spans="21:21" x14ac:dyDescent="0.2">
      <c r="U463" s="78"/>
    </row>
    <row r="464" spans="21:21" x14ac:dyDescent="0.2">
      <c r="U464" s="78"/>
    </row>
    <row r="465" spans="21:21" x14ac:dyDescent="0.2">
      <c r="U465" s="78"/>
    </row>
    <row r="466" spans="21:21" x14ac:dyDescent="0.2">
      <c r="U466" s="78"/>
    </row>
    <row r="467" spans="21:21" x14ac:dyDescent="0.2">
      <c r="U467" s="78"/>
    </row>
    <row r="468" spans="21:21" x14ac:dyDescent="0.2">
      <c r="U468" s="78"/>
    </row>
    <row r="469" spans="21:21" x14ac:dyDescent="0.2">
      <c r="U469" s="78"/>
    </row>
    <row r="470" spans="21:21" x14ac:dyDescent="0.2">
      <c r="U470" s="78"/>
    </row>
    <row r="471" spans="21:21" x14ac:dyDescent="0.2">
      <c r="U471" s="78"/>
    </row>
    <row r="472" spans="21:21" x14ac:dyDescent="0.2">
      <c r="U472" s="78"/>
    </row>
    <row r="473" spans="21:21" x14ac:dyDescent="0.2">
      <c r="U473" s="78"/>
    </row>
    <row r="474" spans="21:21" x14ac:dyDescent="0.2">
      <c r="U474" s="78"/>
    </row>
    <row r="475" spans="21:21" x14ac:dyDescent="0.2">
      <c r="U475" s="78"/>
    </row>
    <row r="476" spans="21:21" x14ac:dyDescent="0.2">
      <c r="U476" s="78"/>
    </row>
    <row r="477" spans="21:21" x14ac:dyDescent="0.2">
      <c r="U477" s="78"/>
    </row>
    <row r="478" spans="21:21" x14ac:dyDescent="0.2">
      <c r="U478" s="78"/>
    </row>
    <row r="479" spans="21:21" x14ac:dyDescent="0.2">
      <c r="U479" s="78"/>
    </row>
    <row r="480" spans="21:21" x14ac:dyDescent="0.2">
      <c r="U480" s="78"/>
    </row>
    <row r="481" spans="21:21" x14ac:dyDescent="0.2">
      <c r="U481" s="78"/>
    </row>
    <row r="482" spans="21:21" x14ac:dyDescent="0.2">
      <c r="U482" s="78"/>
    </row>
    <row r="483" spans="21:21" x14ac:dyDescent="0.2">
      <c r="U483" s="78"/>
    </row>
    <row r="484" spans="21:21" x14ac:dyDescent="0.2">
      <c r="U484" s="78"/>
    </row>
    <row r="485" spans="21:21" x14ac:dyDescent="0.2">
      <c r="U485" s="78"/>
    </row>
    <row r="486" spans="21:21" x14ac:dyDescent="0.2">
      <c r="U486" s="78"/>
    </row>
    <row r="487" spans="21:21" x14ac:dyDescent="0.2">
      <c r="U487" s="78"/>
    </row>
    <row r="488" spans="21:21" x14ac:dyDescent="0.2">
      <c r="U488" s="78"/>
    </row>
    <row r="489" spans="21:21" x14ac:dyDescent="0.2">
      <c r="U489" s="78"/>
    </row>
    <row r="490" spans="21:21" x14ac:dyDescent="0.2">
      <c r="U490" s="78"/>
    </row>
    <row r="491" spans="21:21" x14ac:dyDescent="0.2">
      <c r="U491" s="78"/>
    </row>
    <row r="492" spans="21:21" x14ac:dyDescent="0.2">
      <c r="U492" s="78"/>
    </row>
    <row r="493" spans="21:21" x14ac:dyDescent="0.2">
      <c r="U493" s="78"/>
    </row>
    <row r="494" spans="21:21" x14ac:dyDescent="0.2">
      <c r="U494" s="78"/>
    </row>
    <row r="495" spans="21:21" x14ac:dyDescent="0.2">
      <c r="U495" s="78"/>
    </row>
    <row r="496" spans="21:21" x14ac:dyDescent="0.2">
      <c r="U496" s="78"/>
    </row>
    <row r="497" spans="21:21" x14ac:dyDescent="0.2">
      <c r="U497" s="78"/>
    </row>
    <row r="498" spans="21:21" x14ac:dyDescent="0.2">
      <c r="U498" s="78"/>
    </row>
    <row r="499" spans="21:21" x14ac:dyDescent="0.2">
      <c r="U499" s="78"/>
    </row>
    <row r="500" spans="21:21" x14ac:dyDescent="0.2">
      <c r="U500" s="78"/>
    </row>
    <row r="501" spans="21:21" x14ac:dyDescent="0.2">
      <c r="U501" s="78"/>
    </row>
    <row r="502" spans="21:21" x14ac:dyDescent="0.2">
      <c r="U502" s="78"/>
    </row>
    <row r="503" spans="21:21" x14ac:dyDescent="0.2">
      <c r="U503" s="78"/>
    </row>
    <row r="504" spans="21:21" x14ac:dyDescent="0.2">
      <c r="U504" s="78"/>
    </row>
    <row r="505" spans="21:21" x14ac:dyDescent="0.2">
      <c r="U505" s="78"/>
    </row>
    <row r="506" spans="21:21" x14ac:dyDescent="0.2">
      <c r="U506" s="78"/>
    </row>
    <row r="507" spans="21:21" x14ac:dyDescent="0.2">
      <c r="U507" s="78"/>
    </row>
    <row r="508" spans="21:21" x14ac:dyDescent="0.2">
      <c r="U508" s="78"/>
    </row>
    <row r="509" spans="21:21" x14ac:dyDescent="0.2">
      <c r="U509" s="78"/>
    </row>
    <row r="510" spans="21:21" x14ac:dyDescent="0.2">
      <c r="U510" s="78"/>
    </row>
    <row r="511" spans="21:21" x14ac:dyDescent="0.2">
      <c r="U511" s="78"/>
    </row>
    <row r="512" spans="21:21" x14ac:dyDescent="0.2">
      <c r="U512" s="78"/>
    </row>
    <row r="513" spans="21:21" x14ac:dyDescent="0.2">
      <c r="U513" s="78"/>
    </row>
    <row r="514" spans="21:21" x14ac:dyDescent="0.2">
      <c r="U514" s="78"/>
    </row>
    <row r="515" spans="21:21" x14ac:dyDescent="0.2">
      <c r="U515" s="78"/>
    </row>
    <row r="516" spans="21:21" x14ac:dyDescent="0.2">
      <c r="U516" s="78"/>
    </row>
    <row r="517" spans="21:21" x14ac:dyDescent="0.2">
      <c r="U517" s="78"/>
    </row>
    <row r="518" spans="21:21" x14ac:dyDescent="0.2">
      <c r="U518" s="78"/>
    </row>
    <row r="519" spans="21:21" x14ac:dyDescent="0.2">
      <c r="U519" s="78"/>
    </row>
    <row r="520" spans="21:21" x14ac:dyDescent="0.2">
      <c r="U520" s="78"/>
    </row>
    <row r="521" spans="21:21" x14ac:dyDescent="0.2">
      <c r="U521" s="78"/>
    </row>
    <row r="522" spans="21:21" x14ac:dyDescent="0.2">
      <c r="U522" s="78"/>
    </row>
    <row r="523" spans="21:21" x14ac:dyDescent="0.2">
      <c r="U523" s="78"/>
    </row>
    <row r="524" spans="21:21" x14ac:dyDescent="0.2">
      <c r="U524" s="78"/>
    </row>
    <row r="525" spans="21:21" x14ac:dyDescent="0.2">
      <c r="U525" s="78"/>
    </row>
    <row r="526" spans="21:21" x14ac:dyDescent="0.2">
      <c r="U526" s="78"/>
    </row>
    <row r="527" spans="21:21" x14ac:dyDescent="0.2">
      <c r="U527" s="78"/>
    </row>
    <row r="528" spans="21:21" x14ac:dyDescent="0.2">
      <c r="U528" s="78"/>
    </row>
    <row r="529" spans="21:21" x14ac:dyDescent="0.2">
      <c r="U529" s="78"/>
    </row>
    <row r="530" spans="21:21" x14ac:dyDescent="0.2">
      <c r="U530" s="78"/>
    </row>
    <row r="531" spans="21:21" x14ac:dyDescent="0.2">
      <c r="U531" s="78"/>
    </row>
    <row r="532" spans="21:21" x14ac:dyDescent="0.2">
      <c r="U532" s="78"/>
    </row>
    <row r="533" spans="21:21" x14ac:dyDescent="0.2">
      <c r="U533" s="78"/>
    </row>
    <row r="534" spans="21:21" x14ac:dyDescent="0.2">
      <c r="U534" s="78"/>
    </row>
    <row r="535" spans="21:21" x14ac:dyDescent="0.2">
      <c r="U535" s="78"/>
    </row>
    <row r="536" spans="21:21" x14ac:dyDescent="0.2">
      <c r="U536" s="78"/>
    </row>
    <row r="537" spans="21:21" x14ac:dyDescent="0.2">
      <c r="U537" s="78"/>
    </row>
    <row r="538" spans="21:21" x14ac:dyDescent="0.2">
      <c r="U538" s="78"/>
    </row>
    <row r="539" spans="21:21" x14ac:dyDescent="0.2">
      <c r="U539" s="78"/>
    </row>
    <row r="540" spans="21:21" x14ac:dyDescent="0.2">
      <c r="U540" s="78"/>
    </row>
    <row r="541" spans="21:21" x14ac:dyDescent="0.2">
      <c r="U541" s="78"/>
    </row>
    <row r="542" spans="21:21" x14ac:dyDescent="0.2">
      <c r="U542" s="78"/>
    </row>
    <row r="543" spans="21:21" x14ac:dyDescent="0.2">
      <c r="U543" s="78"/>
    </row>
    <row r="544" spans="21:21" x14ac:dyDescent="0.2">
      <c r="U544" s="78"/>
    </row>
    <row r="545" spans="21:21" x14ac:dyDescent="0.2">
      <c r="U545" s="78"/>
    </row>
    <row r="546" spans="21:21" x14ac:dyDescent="0.2">
      <c r="U546" s="78"/>
    </row>
    <row r="547" spans="21:21" x14ac:dyDescent="0.2">
      <c r="U547" s="78"/>
    </row>
    <row r="548" spans="21:21" x14ac:dyDescent="0.2">
      <c r="U548" s="78"/>
    </row>
    <row r="549" spans="21:21" x14ac:dyDescent="0.2">
      <c r="U549" s="78"/>
    </row>
    <row r="550" spans="21:21" x14ac:dyDescent="0.2">
      <c r="U550" s="78"/>
    </row>
    <row r="551" spans="21:21" x14ac:dyDescent="0.2">
      <c r="U551" s="78"/>
    </row>
    <row r="552" spans="21:21" x14ac:dyDescent="0.2">
      <c r="U552" s="78"/>
    </row>
    <row r="553" spans="21:21" x14ac:dyDescent="0.2">
      <c r="U553" s="78"/>
    </row>
    <row r="554" spans="21:21" x14ac:dyDescent="0.2">
      <c r="U554" s="78"/>
    </row>
    <row r="555" spans="21:21" x14ac:dyDescent="0.2">
      <c r="U555" s="78"/>
    </row>
    <row r="556" spans="21:21" x14ac:dyDescent="0.2">
      <c r="U556" s="78"/>
    </row>
    <row r="557" spans="21:21" x14ac:dyDescent="0.2">
      <c r="U557" s="78"/>
    </row>
    <row r="558" spans="21:21" x14ac:dyDescent="0.2">
      <c r="U558" s="78"/>
    </row>
    <row r="559" spans="21:21" x14ac:dyDescent="0.2">
      <c r="U559" s="78"/>
    </row>
    <row r="560" spans="21:21" x14ac:dyDescent="0.2">
      <c r="U560" s="78"/>
    </row>
    <row r="561" spans="21:21" x14ac:dyDescent="0.2">
      <c r="U561" s="78"/>
    </row>
    <row r="562" spans="21:21" x14ac:dyDescent="0.2">
      <c r="U562" s="78"/>
    </row>
    <row r="563" spans="21:21" x14ac:dyDescent="0.2">
      <c r="U563" s="78"/>
    </row>
    <row r="564" spans="21:21" x14ac:dyDescent="0.2">
      <c r="U564" s="78"/>
    </row>
    <row r="565" spans="21:21" x14ac:dyDescent="0.2">
      <c r="U565" s="78"/>
    </row>
    <row r="566" spans="21:21" x14ac:dyDescent="0.2">
      <c r="U566" s="78"/>
    </row>
    <row r="567" spans="21:21" x14ac:dyDescent="0.2">
      <c r="U567" s="78"/>
    </row>
    <row r="568" spans="21:21" x14ac:dyDescent="0.2">
      <c r="U568" s="78"/>
    </row>
    <row r="569" spans="21:21" x14ac:dyDescent="0.2">
      <c r="U569" s="78"/>
    </row>
    <row r="570" spans="21:21" x14ac:dyDescent="0.2">
      <c r="U570" s="78"/>
    </row>
    <row r="571" spans="21:21" x14ac:dyDescent="0.2">
      <c r="U571" s="78"/>
    </row>
    <row r="572" spans="21:21" x14ac:dyDescent="0.2">
      <c r="U572" s="78"/>
    </row>
    <row r="573" spans="21:21" x14ac:dyDescent="0.2">
      <c r="U573" s="78"/>
    </row>
    <row r="574" spans="21:21" x14ac:dyDescent="0.2">
      <c r="U574" s="78"/>
    </row>
    <row r="575" spans="21:21" x14ac:dyDescent="0.2">
      <c r="U575" s="78"/>
    </row>
    <row r="576" spans="21:21" x14ac:dyDescent="0.2">
      <c r="U576" s="78"/>
    </row>
    <row r="577" spans="21:21" x14ac:dyDescent="0.2">
      <c r="U577" s="78"/>
    </row>
    <row r="578" spans="21:21" x14ac:dyDescent="0.2">
      <c r="U578" s="78"/>
    </row>
    <row r="579" spans="21:21" x14ac:dyDescent="0.2">
      <c r="U579" s="78"/>
    </row>
    <row r="580" spans="21:21" x14ac:dyDescent="0.2">
      <c r="U580" s="78"/>
    </row>
    <row r="581" spans="21:21" x14ac:dyDescent="0.2">
      <c r="U581" s="78"/>
    </row>
    <row r="582" spans="21:21" x14ac:dyDescent="0.2">
      <c r="U582" s="78"/>
    </row>
    <row r="583" spans="21:21" x14ac:dyDescent="0.2">
      <c r="U583" s="78"/>
    </row>
    <row r="584" spans="21:21" x14ac:dyDescent="0.2">
      <c r="U584" s="78"/>
    </row>
    <row r="585" spans="21:21" x14ac:dyDescent="0.2">
      <c r="U585" s="78"/>
    </row>
    <row r="586" spans="21:21" x14ac:dyDescent="0.2">
      <c r="U586" s="78"/>
    </row>
    <row r="587" spans="21:21" x14ac:dyDescent="0.2">
      <c r="U587" s="78"/>
    </row>
    <row r="588" spans="21:21" x14ac:dyDescent="0.2">
      <c r="U588" s="78"/>
    </row>
    <row r="589" spans="21:21" x14ac:dyDescent="0.2">
      <c r="U589" s="78"/>
    </row>
    <row r="590" spans="21:21" x14ac:dyDescent="0.2">
      <c r="U590" s="78"/>
    </row>
    <row r="591" spans="21:21" x14ac:dyDescent="0.2">
      <c r="U591" s="78"/>
    </row>
    <row r="592" spans="21:21" x14ac:dyDescent="0.2">
      <c r="U592" s="78"/>
    </row>
    <row r="593" spans="21:21" x14ac:dyDescent="0.2">
      <c r="U593" s="78"/>
    </row>
    <row r="594" spans="21:21" x14ac:dyDescent="0.2">
      <c r="U594" s="78"/>
    </row>
    <row r="595" spans="21:21" x14ac:dyDescent="0.2">
      <c r="U595" s="78"/>
    </row>
    <row r="596" spans="21:21" x14ac:dyDescent="0.2">
      <c r="U596" s="78"/>
    </row>
    <row r="597" spans="21:21" x14ac:dyDescent="0.2">
      <c r="U597" s="78"/>
    </row>
    <row r="598" spans="21:21" x14ac:dyDescent="0.2">
      <c r="U598" s="78"/>
    </row>
    <row r="599" spans="21:21" x14ac:dyDescent="0.2">
      <c r="U599" s="78"/>
    </row>
    <row r="600" spans="21:21" x14ac:dyDescent="0.2">
      <c r="U600" s="78"/>
    </row>
    <row r="601" spans="21:21" x14ac:dyDescent="0.2">
      <c r="U601" s="78"/>
    </row>
    <row r="602" spans="21:21" x14ac:dyDescent="0.2">
      <c r="U602" s="78"/>
    </row>
    <row r="603" spans="21:21" x14ac:dyDescent="0.2">
      <c r="U603" s="78"/>
    </row>
    <row r="604" spans="21:21" x14ac:dyDescent="0.2">
      <c r="U604" s="78"/>
    </row>
    <row r="605" spans="21:21" x14ac:dyDescent="0.2">
      <c r="U605" s="78"/>
    </row>
    <row r="606" spans="21:21" x14ac:dyDescent="0.2">
      <c r="U606" s="78"/>
    </row>
    <row r="607" spans="21:21" x14ac:dyDescent="0.2">
      <c r="U607" s="78"/>
    </row>
    <row r="608" spans="21:21" x14ac:dyDescent="0.2">
      <c r="U608" s="78"/>
    </row>
    <row r="609" spans="21:21" x14ac:dyDescent="0.2">
      <c r="U609" s="78"/>
    </row>
    <row r="610" spans="21:21" x14ac:dyDescent="0.2">
      <c r="U610" s="78"/>
    </row>
    <row r="611" spans="21:21" x14ac:dyDescent="0.2">
      <c r="U611" s="78"/>
    </row>
    <row r="612" spans="21:21" x14ac:dyDescent="0.2">
      <c r="U612" s="78"/>
    </row>
    <row r="613" spans="21:21" x14ac:dyDescent="0.2">
      <c r="U613" s="78"/>
    </row>
    <row r="614" spans="21:21" x14ac:dyDescent="0.2">
      <c r="U614" s="78"/>
    </row>
    <row r="615" spans="21:21" x14ac:dyDescent="0.2">
      <c r="U615" s="78"/>
    </row>
    <row r="616" spans="21:21" x14ac:dyDescent="0.2">
      <c r="U616" s="78"/>
    </row>
    <row r="617" spans="21:21" x14ac:dyDescent="0.2">
      <c r="U617" s="78"/>
    </row>
    <row r="618" spans="21:21" x14ac:dyDescent="0.2">
      <c r="U618" s="78"/>
    </row>
    <row r="619" spans="21:21" x14ac:dyDescent="0.2">
      <c r="U619" s="78"/>
    </row>
    <row r="620" spans="21:21" x14ac:dyDescent="0.2">
      <c r="U620" s="78"/>
    </row>
    <row r="621" spans="21:21" x14ac:dyDescent="0.2">
      <c r="U621" s="78"/>
    </row>
    <row r="622" spans="21:21" x14ac:dyDescent="0.2">
      <c r="U622" s="78"/>
    </row>
    <row r="623" spans="21:21" x14ac:dyDescent="0.2">
      <c r="U623" s="78"/>
    </row>
    <row r="624" spans="21:21" x14ac:dyDescent="0.2">
      <c r="U624" s="78"/>
    </row>
    <row r="625" spans="21:21" x14ac:dyDescent="0.2">
      <c r="U625" s="78"/>
    </row>
    <row r="626" spans="21:21" x14ac:dyDescent="0.2">
      <c r="U626" s="78"/>
    </row>
    <row r="627" spans="21:21" x14ac:dyDescent="0.2">
      <c r="U627" s="78"/>
    </row>
    <row r="628" spans="21:21" x14ac:dyDescent="0.2">
      <c r="U628" s="78"/>
    </row>
    <row r="629" spans="21:21" x14ac:dyDescent="0.2">
      <c r="U629" s="78"/>
    </row>
    <row r="630" spans="21:21" x14ac:dyDescent="0.2">
      <c r="U630" s="78"/>
    </row>
    <row r="631" spans="21:21" x14ac:dyDescent="0.2">
      <c r="U631" s="78"/>
    </row>
    <row r="632" spans="21:21" x14ac:dyDescent="0.2">
      <c r="U632" s="78"/>
    </row>
    <row r="633" spans="21:21" x14ac:dyDescent="0.2">
      <c r="U633" s="78"/>
    </row>
    <row r="634" spans="21:21" x14ac:dyDescent="0.2">
      <c r="U634" s="78"/>
    </row>
    <row r="635" spans="21:21" x14ac:dyDescent="0.2">
      <c r="U635" s="78"/>
    </row>
    <row r="636" spans="21:21" x14ac:dyDescent="0.2">
      <c r="U636" s="78"/>
    </row>
    <row r="637" spans="21:21" x14ac:dyDescent="0.2">
      <c r="U637" s="78"/>
    </row>
    <row r="638" spans="21:21" x14ac:dyDescent="0.2">
      <c r="U638" s="78"/>
    </row>
    <row r="639" spans="21:21" x14ac:dyDescent="0.2">
      <c r="U639" s="78"/>
    </row>
    <row r="640" spans="21:21" x14ac:dyDescent="0.2">
      <c r="U640" s="78"/>
    </row>
    <row r="641" spans="21:21" x14ac:dyDescent="0.2">
      <c r="U641" s="78"/>
    </row>
    <row r="642" spans="21:21" x14ac:dyDescent="0.2">
      <c r="U642" s="78"/>
    </row>
    <row r="643" spans="21:21" x14ac:dyDescent="0.2">
      <c r="U643" s="78"/>
    </row>
    <row r="644" spans="21:21" x14ac:dyDescent="0.2">
      <c r="U644" s="78"/>
    </row>
    <row r="645" spans="21:21" x14ac:dyDescent="0.2">
      <c r="U645" s="78"/>
    </row>
    <row r="646" spans="21:21" x14ac:dyDescent="0.2">
      <c r="U646" s="78"/>
    </row>
    <row r="647" spans="21:21" x14ac:dyDescent="0.2">
      <c r="U647" s="78"/>
    </row>
    <row r="648" spans="21:21" x14ac:dyDescent="0.2">
      <c r="U648" s="78"/>
    </row>
    <row r="649" spans="21:21" x14ac:dyDescent="0.2">
      <c r="U649" s="78"/>
    </row>
    <row r="650" spans="21:21" x14ac:dyDescent="0.2">
      <c r="U650" s="78"/>
    </row>
    <row r="651" spans="21:21" x14ac:dyDescent="0.2">
      <c r="U651" s="78"/>
    </row>
    <row r="652" spans="21:21" x14ac:dyDescent="0.2">
      <c r="U652" s="78"/>
    </row>
    <row r="653" spans="21:21" x14ac:dyDescent="0.2">
      <c r="U653" s="78"/>
    </row>
    <row r="654" spans="21:21" x14ac:dyDescent="0.2">
      <c r="U654" s="78"/>
    </row>
    <row r="655" spans="21:21" x14ac:dyDescent="0.2">
      <c r="U655" s="78"/>
    </row>
    <row r="656" spans="21:21" x14ac:dyDescent="0.2">
      <c r="U656" s="78"/>
    </row>
    <row r="657" spans="21:21" x14ac:dyDescent="0.2">
      <c r="U657" s="78"/>
    </row>
    <row r="658" spans="21:21" x14ac:dyDescent="0.2">
      <c r="U658" s="78"/>
    </row>
    <row r="659" spans="21:21" x14ac:dyDescent="0.2">
      <c r="U659" s="78"/>
    </row>
    <row r="660" spans="21:21" x14ac:dyDescent="0.2">
      <c r="U660" s="78"/>
    </row>
    <row r="661" spans="21:21" x14ac:dyDescent="0.2">
      <c r="U661" s="78"/>
    </row>
    <row r="662" spans="21:21" x14ac:dyDescent="0.2">
      <c r="U662" s="78"/>
    </row>
    <row r="663" spans="21:21" x14ac:dyDescent="0.2">
      <c r="U663" s="78"/>
    </row>
    <row r="664" spans="21:21" x14ac:dyDescent="0.2">
      <c r="U664" s="78"/>
    </row>
    <row r="665" spans="21:21" x14ac:dyDescent="0.2">
      <c r="U665" s="78"/>
    </row>
    <row r="666" spans="21:21" x14ac:dyDescent="0.2">
      <c r="U666" s="78"/>
    </row>
    <row r="667" spans="21:21" x14ac:dyDescent="0.2">
      <c r="U667" s="78"/>
    </row>
    <row r="668" spans="21:21" x14ac:dyDescent="0.2">
      <c r="U668" s="78"/>
    </row>
    <row r="669" spans="21:21" x14ac:dyDescent="0.2">
      <c r="U669" s="78"/>
    </row>
    <row r="670" spans="21:21" x14ac:dyDescent="0.2">
      <c r="U670" s="78"/>
    </row>
    <row r="671" spans="21:21" x14ac:dyDescent="0.2">
      <c r="U671" s="78"/>
    </row>
    <row r="672" spans="21:21" x14ac:dyDescent="0.2">
      <c r="U672" s="78"/>
    </row>
    <row r="673" spans="21:21" x14ac:dyDescent="0.2">
      <c r="U673" s="78"/>
    </row>
    <row r="674" spans="21:21" x14ac:dyDescent="0.2">
      <c r="U674" s="78"/>
    </row>
    <row r="675" spans="21:21" x14ac:dyDescent="0.2">
      <c r="U675" s="78"/>
    </row>
    <row r="676" spans="21:21" x14ac:dyDescent="0.2">
      <c r="U676" s="78"/>
    </row>
    <row r="677" spans="21:21" x14ac:dyDescent="0.2">
      <c r="U677" s="78"/>
    </row>
    <row r="678" spans="21:21" x14ac:dyDescent="0.2">
      <c r="U678" s="78"/>
    </row>
    <row r="679" spans="21:21" x14ac:dyDescent="0.2">
      <c r="U679" s="78"/>
    </row>
    <row r="680" spans="21:21" x14ac:dyDescent="0.2">
      <c r="U680" s="78"/>
    </row>
    <row r="681" spans="21:21" x14ac:dyDescent="0.2">
      <c r="U681" s="78"/>
    </row>
    <row r="682" spans="21:21" x14ac:dyDescent="0.2">
      <c r="U682" s="78"/>
    </row>
    <row r="683" spans="21:21" x14ac:dyDescent="0.2">
      <c r="U683" s="78"/>
    </row>
    <row r="684" spans="21:21" x14ac:dyDescent="0.2">
      <c r="U684" s="78"/>
    </row>
    <row r="685" spans="21:21" x14ac:dyDescent="0.2">
      <c r="U685" s="78"/>
    </row>
    <row r="686" spans="21:21" x14ac:dyDescent="0.2">
      <c r="U686" s="78"/>
    </row>
    <row r="687" spans="21:21" x14ac:dyDescent="0.2">
      <c r="U687" s="78"/>
    </row>
    <row r="688" spans="21:21" x14ac:dyDescent="0.2">
      <c r="U688" s="78"/>
    </row>
    <row r="689" spans="21:21" x14ac:dyDescent="0.2">
      <c r="U689" s="78"/>
    </row>
    <row r="690" spans="21:21" x14ac:dyDescent="0.2">
      <c r="U690" s="78"/>
    </row>
    <row r="691" spans="21:21" x14ac:dyDescent="0.2">
      <c r="U691" s="78"/>
    </row>
    <row r="692" spans="21:21" x14ac:dyDescent="0.2">
      <c r="U692" s="78"/>
    </row>
    <row r="693" spans="21:21" x14ac:dyDescent="0.2">
      <c r="U693" s="78"/>
    </row>
    <row r="694" spans="21:21" x14ac:dyDescent="0.2">
      <c r="U694" s="78"/>
    </row>
    <row r="695" spans="21:21" x14ac:dyDescent="0.2">
      <c r="U695" s="78"/>
    </row>
    <row r="696" spans="21:21" x14ac:dyDescent="0.2">
      <c r="U696" s="78"/>
    </row>
    <row r="697" spans="21:21" x14ac:dyDescent="0.2">
      <c r="U697" s="78"/>
    </row>
    <row r="698" spans="21:21" x14ac:dyDescent="0.2">
      <c r="U698" s="78"/>
    </row>
    <row r="699" spans="21:21" x14ac:dyDescent="0.2">
      <c r="U699" s="78"/>
    </row>
    <row r="700" spans="21:21" x14ac:dyDescent="0.2">
      <c r="U700" s="78"/>
    </row>
    <row r="701" spans="21:21" x14ac:dyDescent="0.2">
      <c r="U701" s="78"/>
    </row>
    <row r="702" spans="21:21" x14ac:dyDescent="0.2">
      <c r="U702" s="78"/>
    </row>
    <row r="703" spans="21:21" x14ac:dyDescent="0.2">
      <c r="U703" s="78"/>
    </row>
    <row r="704" spans="21:21" x14ac:dyDescent="0.2">
      <c r="U704" s="78"/>
    </row>
    <row r="705" spans="21:21" x14ac:dyDescent="0.2">
      <c r="U705" s="78"/>
    </row>
    <row r="706" spans="21:21" x14ac:dyDescent="0.2">
      <c r="U706" s="78"/>
    </row>
    <row r="707" spans="21:21" x14ac:dyDescent="0.2">
      <c r="U707" s="78"/>
    </row>
    <row r="708" spans="21:21" x14ac:dyDescent="0.2">
      <c r="U708" s="78"/>
    </row>
    <row r="709" spans="21:21" x14ac:dyDescent="0.2">
      <c r="U709" s="78"/>
    </row>
    <row r="710" spans="21:21" x14ac:dyDescent="0.2">
      <c r="U710" s="78"/>
    </row>
    <row r="711" spans="21:21" x14ac:dyDescent="0.2">
      <c r="U711" s="78"/>
    </row>
    <row r="712" spans="21:21" x14ac:dyDescent="0.2">
      <c r="U712" s="78"/>
    </row>
    <row r="713" spans="21:21" x14ac:dyDescent="0.2">
      <c r="U713" s="78"/>
    </row>
    <row r="714" spans="21:21" x14ac:dyDescent="0.2">
      <c r="U714" s="78"/>
    </row>
    <row r="715" spans="21:21" x14ac:dyDescent="0.2">
      <c r="U715" s="78"/>
    </row>
    <row r="716" spans="21:21" x14ac:dyDescent="0.2">
      <c r="U716" s="78"/>
    </row>
    <row r="717" spans="21:21" x14ac:dyDescent="0.2">
      <c r="U717" s="78"/>
    </row>
    <row r="718" spans="21:21" x14ac:dyDescent="0.2">
      <c r="U718" s="78"/>
    </row>
    <row r="719" spans="21:21" x14ac:dyDescent="0.2">
      <c r="U719" s="78"/>
    </row>
    <row r="720" spans="21:21" x14ac:dyDescent="0.2">
      <c r="U720" s="78"/>
    </row>
    <row r="721" spans="21:21" x14ac:dyDescent="0.2">
      <c r="U721" s="78"/>
    </row>
    <row r="722" spans="21:21" x14ac:dyDescent="0.2">
      <c r="U722" s="78"/>
    </row>
    <row r="723" spans="21:21" x14ac:dyDescent="0.2">
      <c r="U723" s="78"/>
    </row>
    <row r="724" spans="21:21" x14ac:dyDescent="0.2">
      <c r="U724" s="78"/>
    </row>
    <row r="725" spans="21:21" x14ac:dyDescent="0.2">
      <c r="U725" s="78"/>
    </row>
    <row r="726" spans="21:21" x14ac:dyDescent="0.2">
      <c r="U726" s="78"/>
    </row>
    <row r="727" spans="21:21" x14ac:dyDescent="0.2">
      <c r="U727" s="78"/>
    </row>
    <row r="728" spans="21:21" x14ac:dyDescent="0.2">
      <c r="U728" s="78"/>
    </row>
    <row r="729" spans="21:21" x14ac:dyDescent="0.2">
      <c r="U729" s="78"/>
    </row>
    <row r="730" spans="21:21" x14ac:dyDescent="0.2">
      <c r="U730" s="78"/>
    </row>
    <row r="731" spans="21:21" x14ac:dyDescent="0.2">
      <c r="U731" s="78"/>
    </row>
    <row r="732" spans="21:21" x14ac:dyDescent="0.2">
      <c r="U732" s="78"/>
    </row>
    <row r="733" spans="21:21" x14ac:dyDescent="0.2">
      <c r="U733" s="78"/>
    </row>
    <row r="734" spans="21:21" x14ac:dyDescent="0.2">
      <c r="U734" s="78"/>
    </row>
    <row r="735" spans="21:21" x14ac:dyDescent="0.2">
      <c r="U735" s="78"/>
    </row>
    <row r="736" spans="21:21" x14ac:dyDescent="0.2">
      <c r="U736" s="78"/>
    </row>
    <row r="737" spans="21:21" x14ac:dyDescent="0.2">
      <c r="U737" s="78"/>
    </row>
    <row r="738" spans="21:21" x14ac:dyDescent="0.2">
      <c r="U738" s="78"/>
    </row>
    <row r="739" spans="21:21" x14ac:dyDescent="0.2">
      <c r="U739" s="78"/>
    </row>
    <row r="740" spans="21:21" x14ac:dyDescent="0.2">
      <c r="U740" s="78"/>
    </row>
    <row r="741" spans="21:21" x14ac:dyDescent="0.2">
      <c r="U741" s="78"/>
    </row>
    <row r="742" spans="21:21" x14ac:dyDescent="0.2">
      <c r="U742" s="78"/>
    </row>
    <row r="743" spans="21:21" x14ac:dyDescent="0.2">
      <c r="U743" s="78"/>
    </row>
    <row r="744" spans="21:21" x14ac:dyDescent="0.2">
      <c r="U744" s="78"/>
    </row>
    <row r="745" spans="21:21" x14ac:dyDescent="0.2">
      <c r="U745" s="78"/>
    </row>
    <row r="746" spans="21:21" x14ac:dyDescent="0.2">
      <c r="U746" s="78"/>
    </row>
    <row r="747" spans="21:21" x14ac:dyDescent="0.2">
      <c r="U747" s="78"/>
    </row>
    <row r="748" spans="21:21" x14ac:dyDescent="0.2">
      <c r="U748" s="78"/>
    </row>
    <row r="749" spans="21:21" x14ac:dyDescent="0.2">
      <c r="U749" s="78"/>
    </row>
    <row r="750" spans="21:21" x14ac:dyDescent="0.2">
      <c r="U750" s="78"/>
    </row>
    <row r="751" spans="21:21" x14ac:dyDescent="0.2">
      <c r="U751" s="78"/>
    </row>
    <row r="752" spans="21:21" x14ac:dyDescent="0.2">
      <c r="U752" s="78"/>
    </row>
    <row r="753" spans="21:21" x14ac:dyDescent="0.2">
      <c r="U753" s="78"/>
    </row>
    <row r="754" spans="21:21" x14ac:dyDescent="0.2">
      <c r="U754" s="78"/>
    </row>
    <row r="755" spans="21:21" x14ac:dyDescent="0.2">
      <c r="U755" s="78"/>
    </row>
    <row r="756" spans="21:21" x14ac:dyDescent="0.2">
      <c r="U756" s="78"/>
    </row>
    <row r="757" spans="21:21" x14ac:dyDescent="0.2">
      <c r="U757" s="78"/>
    </row>
    <row r="758" spans="21:21" x14ac:dyDescent="0.2">
      <c r="U758" s="78"/>
    </row>
    <row r="759" spans="21:21" x14ac:dyDescent="0.2">
      <c r="U759" s="78"/>
    </row>
    <row r="760" spans="21:21" x14ac:dyDescent="0.2">
      <c r="U760" s="78"/>
    </row>
    <row r="761" spans="21:21" x14ac:dyDescent="0.2">
      <c r="U761" s="78"/>
    </row>
    <row r="762" spans="21:21" x14ac:dyDescent="0.2">
      <c r="U762" s="78"/>
    </row>
    <row r="763" spans="21:21" x14ac:dyDescent="0.2">
      <c r="U763" s="78"/>
    </row>
    <row r="764" spans="21:21" x14ac:dyDescent="0.2">
      <c r="U764" s="78"/>
    </row>
    <row r="765" spans="21:21" x14ac:dyDescent="0.2">
      <c r="U765" s="78"/>
    </row>
    <row r="766" spans="21:21" x14ac:dyDescent="0.2">
      <c r="U766" s="78"/>
    </row>
    <row r="767" spans="21:21" x14ac:dyDescent="0.2">
      <c r="U767" s="78"/>
    </row>
    <row r="768" spans="21:21" x14ac:dyDescent="0.2">
      <c r="U768" s="78"/>
    </row>
    <row r="769" spans="21:21" x14ac:dyDescent="0.2">
      <c r="U769" s="78"/>
    </row>
    <row r="770" spans="21:21" x14ac:dyDescent="0.2">
      <c r="U770" s="78"/>
    </row>
    <row r="771" spans="21:21" x14ac:dyDescent="0.2">
      <c r="U771" s="78"/>
    </row>
    <row r="772" spans="21:21" x14ac:dyDescent="0.2">
      <c r="U772" s="78"/>
    </row>
    <row r="773" spans="21:21" x14ac:dyDescent="0.2">
      <c r="U773" s="78"/>
    </row>
    <row r="774" spans="21:21" x14ac:dyDescent="0.2">
      <c r="U774" s="78"/>
    </row>
    <row r="775" spans="21:21" x14ac:dyDescent="0.2">
      <c r="U775" s="78"/>
    </row>
    <row r="776" spans="21:21" x14ac:dyDescent="0.2">
      <c r="U776" s="78"/>
    </row>
    <row r="777" spans="21:21" x14ac:dyDescent="0.2">
      <c r="U777" s="78"/>
    </row>
    <row r="778" spans="21:21" x14ac:dyDescent="0.2">
      <c r="U778" s="78"/>
    </row>
    <row r="779" spans="21:21" x14ac:dyDescent="0.2">
      <c r="U779" s="78"/>
    </row>
    <row r="780" spans="21:21" x14ac:dyDescent="0.2">
      <c r="U780" s="78"/>
    </row>
    <row r="781" spans="21:21" x14ac:dyDescent="0.2">
      <c r="U781" s="78"/>
    </row>
    <row r="782" spans="21:21" x14ac:dyDescent="0.2">
      <c r="U782" s="78"/>
    </row>
    <row r="783" spans="21:21" x14ac:dyDescent="0.2">
      <c r="U783" s="78"/>
    </row>
    <row r="784" spans="21:21" x14ac:dyDescent="0.2">
      <c r="U784" s="78"/>
    </row>
    <row r="785" spans="21:21" x14ac:dyDescent="0.2">
      <c r="U785" s="78"/>
    </row>
    <row r="786" spans="21:21" x14ac:dyDescent="0.2">
      <c r="U786" s="78"/>
    </row>
    <row r="787" spans="21:21" x14ac:dyDescent="0.2">
      <c r="U787" s="78"/>
    </row>
    <row r="788" spans="21:21" x14ac:dyDescent="0.2">
      <c r="U788" s="78"/>
    </row>
    <row r="789" spans="21:21" x14ac:dyDescent="0.2">
      <c r="U789" s="78"/>
    </row>
    <row r="790" spans="21:21" x14ac:dyDescent="0.2">
      <c r="U790" s="78"/>
    </row>
    <row r="791" spans="21:21" x14ac:dyDescent="0.2">
      <c r="U791" s="78"/>
    </row>
    <row r="792" spans="21:21" x14ac:dyDescent="0.2">
      <c r="U792" s="78"/>
    </row>
    <row r="793" spans="21:21" x14ac:dyDescent="0.2">
      <c r="U793" s="78"/>
    </row>
    <row r="794" spans="21:21" x14ac:dyDescent="0.2">
      <c r="U794" s="78"/>
    </row>
    <row r="795" spans="21:21" x14ac:dyDescent="0.2">
      <c r="U795" s="78"/>
    </row>
    <row r="796" spans="21:21" x14ac:dyDescent="0.2">
      <c r="U796" s="78"/>
    </row>
    <row r="797" spans="21:21" x14ac:dyDescent="0.2">
      <c r="U797" s="78"/>
    </row>
    <row r="798" spans="21:21" x14ac:dyDescent="0.2">
      <c r="U798" s="78"/>
    </row>
    <row r="799" spans="21:21" x14ac:dyDescent="0.2">
      <c r="U799" s="78"/>
    </row>
    <row r="800" spans="21:21" x14ac:dyDescent="0.2">
      <c r="U800" s="78"/>
    </row>
    <row r="801" spans="21:21" x14ac:dyDescent="0.2">
      <c r="U801" s="78"/>
    </row>
    <row r="802" spans="21:21" x14ac:dyDescent="0.2">
      <c r="U802" s="78"/>
    </row>
    <row r="803" spans="21:21" x14ac:dyDescent="0.2">
      <c r="U803" s="78"/>
    </row>
    <row r="804" spans="21:21" x14ac:dyDescent="0.2">
      <c r="U804" s="78"/>
    </row>
    <row r="805" spans="21:21" x14ac:dyDescent="0.2">
      <c r="U805" s="78"/>
    </row>
    <row r="806" spans="21:21" x14ac:dyDescent="0.2">
      <c r="U806" s="78"/>
    </row>
    <row r="807" spans="21:21" x14ac:dyDescent="0.2">
      <c r="U807" s="78"/>
    </row>
    <row r="808" spans="21:21" x14ac:dyDescent="0.2">
      <c r="U808" s="78"/>
    </row>
    <row r="809" spans="21:21" x14ac:dyDescent="0.2">
      <c r="U809" s="78"/>
    </row>
    <row r="810" spans="21:21" x14ac:dyDescent="0.2">
      <c r="U810" s="78"/>
    </row>
    <row r="811" spans="21:21" x14ac:dyDescent="0.2">
      <c r="U811" s="78"/>
    </row>
    <row r="812" spans="21:21" x14ac:dyDescent="0.2">
      <c r="U812" s="78"/>
    </row>
    <row r="813" spans="21:21" x14ac:dyDescent="0.2">
      <c r="U813" s="78"/>
    </row>
    <row r="814" spans="21:21" x14ac:dyDescent="0.2">
      <c r="U814" s="78"/>
    </row>
    <row r="815" spans="21:21" x14ac:dyDescent="0.2">
      <c r="U815" s="78"/>
    </row>
    <row r="816" spans="21:21" x14ac:dyDescent="0.2">
      <c r="U816" s="78"/>
    </row>
    <row r="817" spans="21:21" x14ac:dyDescent="0.2">
      <c r="U817" s="78"/>
    </row>
    <row r="818" spans="21:21" x14ac:dyDescent="0.2">
      <c r="U818" s="78"/>
    </row>
    <row r="819" spans="21:21" x14ac:dyDescent="0.2">
      <c r="U819" s="78"/>
    </row>
    <row r="820" spans="21:21" x14ac:dyDescent="0.2">
      <c r="U820" s="78"/>
    </row>
    <row r="821" spans="21:21" x14ac:dyDescent="0.2">
      <c r="U821" s="78"/>
    </row>
    <row r="822" spans="21:21" x14ac:dyDescent="0.2">
      <c r="U822" s="78"/>
    </row>
    <row r="823" spans="21:21" x14ac:dyDescent="0.2">
      <c r="U823" s="78"/>
    </row>
    <row r="824" spans="21:21" x14ac:dyDescent="0.2">
      <c r="U824" s="78"/>
    </row>
    <row r="825" spans="21:21" x14ac:dyDescent="0.2">
      <c r="U825" s="78"/>
    </row>
    <row r="826" spans="21:21" x14ac:dyDescent="0.2">
      <c r="U826" s="78"/>
    </row>
    <row r="827" spans="21:21" x14ac:dyDescent="0.2">
      <c r="U827" s="78"/>
    </row>
    <row r="828" spans="21:21" x14ac:dyDescent="0.2">
      <c r="U828" s="78"/>
    </row>
    <row r="829" spans="21:21" x14ac:dyDescent="0.2">
      <c r="U829" s="78"/>
    </row>
    <row r="830" spans="21:21" x14ac:dyDescent="0.2">
      <c r="U830" s="78"/>
    </row>
    <row r="831" spans="21:21" x14ac:dyDescent="0.2">
      <c r="U831" s="78"/>
    </row>
    <row r="832" spans="21:21" x14ac:dyDescent="0.2">
      <c r="U832" s="78"/>
    </row>
    <row r="833" spans="21:21" x14ac:dyDescent="0.2">
      <c r="U833" s="78"/>
    </row>
    <row r="834" spans="21:21" x14ac:dyDescent="0.2">
      <c r="U834" s="78"/>
    </row>
    <row r="835" spans="21:21" x14ac:dyDescent="0.2">
      <c r="U835" s="78"/>
    </row>
    <row r="836" spans="21:21" x14ac:dyDescent="0.2">
      <c r="U836" s="78"/>
    </row>
    <row r="837" spans="21:21" x14ac:dyDescent="0.2">
      <c r="U837" s="78"/>
    </row>
    <row r="838" spans="21:21" x14ac:dyDescent="0.2">
      <c r="U838" s="78"/>
    </row>
    <row r="839" spans="21:21" x14ac:dyDescent="0.2">
      <c r="U839" s="78"/>
    </row>
    <row r="840" spans="21:21" x14ac:dyDescent="0.2">
      <c r="U840" s="78"/>
    </row>
    <row r="841" spans="21:21" x14ac:dyDescent="0.2">
      <c r="U841" s="78"/>
    </row>
    <row r="842" spans="21:21" x14ac:dyDescent="0.2">
      <c r="U842" s="78"/>
    </row>
    <row r="843" spans="21:21" x14ac:dyDescent="0.2">
      <c r="U843" s="78"/>
    </row>
    <row r="844" spans="21:21" x14ac:dyDescent="0.2">
      <c r="U844" s="78"/>
    </row>
    <row r="845" spans="21:21" x14ac:dyDescent="0.2">
      <c r="U845" s="78"/>
    </row>
    <row r="846" spans="21:21" x14ac:dyDescent="0.2">
      <c r="U846" s="78"/>
    </row>
    <row r="847" spans="21:21" x14ac:dyDescent="0.2">
      <c r="U847" s="78"/>
    </row>
    <row r="848" spans="21:21" x14ac:dyDescent="0.2">
      <c r="U848" s="78"/>
    </row>
    <row r="849" spans="21:21" x14ac:dyDescent="0.2">
      <c r="U849" s="78"/>
    </row>
    <row r="850" spans="21:21" x14ac:dyDescent="0.2">
      <c r="U850" s="78"/>
    </row>
    <row r="851" spans="21:21" x14ac:dyDescent="0.2">
      <c r="U851" s="78"/>
    </row>
    <row r="852" spans="21:21" x14ac:dyDescent="0.2">
      <c r="U852" s="78"/>
    </row>
    <row r="853" spans="21:21" x14ac:dyDescent="0.2">
      <c r="U853" s="78"/>
    </row>
    <row r="854" spans="21:21" x14ac:dyDescent="0.2">
      <c r="U854" s="78"/>
    </row>
    <row r="855" spans="21:21" x14ac:dyDescent="0.2">
      <c r="U855" s="78"/>
    </row>
    <row r="856" spans="21:21" x14ac:dyDescent="0.2">
      <c r="U856" s="78"/>
    </row>
    <row r="857" spans="21:21" x14ac:dyDescent="0.2">
      <c r="U857" s="78"/>
    </row>
    <row r="858" spans="21:21" x14ac:dyDescent="0.2">
      <c r="U858" s="78"/>
    </row>
    <row r="859" spans="21:21" x14ac:dyDescent="0.2">
      <c r="U859" s="78"/>
    </row>
    <row r="860" spans="21:21" x14ac:dyDescent="0.2">
      <c r="U860" s="78"/>
    </row>
    <row r="861" spans="21:21" x14ac:dyDescent="0.2">
      <c r="U861" s="78"/>
    </row>
    <row r="862" spans="21:21" x14ac:dyDescent="0.2">
      <c r="U862" s="78"/>
    </row>
    <row r="863" spans="21:21" x14ac:dyDescent="0.2">
      <c r="U863" s="78"/>
    </row>
    <row r="864" spans="21:21" x14ac:dyDescent="0.2">
      <c r="U864" s="78"/>
    </row>
    <row r="865" spans="21:21" x14ac:dyDescent="0.2">
      <c r="U865" s="78"/>
    </row>
    <row r="866" spans="21:21" x14ac:dyDescent="0.2">
      <c r="U866" s="78"/>
    </row>
    <row r="867" spans="21:21" x14ac:dyDescent="0.2">
      <c r="U867" s="78"/>
    </row>
    <row r="868" spans="21:21" x14ac:dyDescent="0.2">
      <c r="U868" s="78"/>
    </row>
    <row r="869" spans="21:21" x14ac:dyDescent="0.2">
      <c r="U869" s="78"/>
    </row>
    <row r="870" spans="21:21" x14ac:dyDescent="0.2">
      <c r="U870" s="78"/>
    </row>
    <row r="871" spans="21:21" x14ac:dyDescent="0.2">
      <c r="U871" s="78"/>
    </row>
    <row r="872" spans="21:21" x14ac:dyDescent="0.2">
      <c r="U872" s="78"/>
    </row>
    <row r="873" spans="21:21" x14ac:dyDescent="0.2">
      <c r="U873" s="78"/>
    </row>
    <row r="874" spans="21:21" x14ac:dyDescent="0.2">
      <c r="U874" s="78"/>
    </row>
    <row r="875" spans="21:21" x14ac:dyDescent="0.2">
      <c r="U875" s="78"/>
    </row>
    <row r="876" spans="21:21" x14ac:dyDescent="0.2">
      <c r="U876" s="78"/>
    </row>
    <row r="877" spans="21:21" x14ac:dyDescent="0.2">
      <c r="U877" s="78"/>
    </row>
    <row r="878" spans="21:21" x14ac:dyDescent="0.2">
      <c r="U878" s="78"/>
    </row>
    <row r="879" spans="21:21" x14ac:dyDescent="0.2">
      <c r="U879" s="78"/>
    </row>
    <row r="880" spans="21:21" x14ac:dyDescent="0.2">
      <c r="U880" s="78"/>
    </row>
    <row r="881" spans="21:21" x14ac:dyDescent="0.2">
      <c r="U881" s="78"/>
    </row>
    <row r="882" spans="21:21" x14ac:dyDescent="0.2">
      <c r="U882" s="78"/>
    </row>
    <row r="883" spans="21:21" x14ac:dyDescent="0.2">
      <c r="U883" s="78"/>
    </row>
    <row r="884" spans="21:21" x14ac:dyDescent="0.2">
      <c r="U884" s="78"/>
    </row>
    <row r="885" spans="21:21" x14ac:dyDescent="0.2">
      <c r="U885" s="78"/>
    </row>
    <row r="886" spans="21:21" x14ac:dyDescent="0.2">
      <c r="U886" s="78"/>
    </row>
    <row r="887" spans="21:21" x14ac:dyDescent="0.2">
      <c r="U887" s="78"/>
    </row>
    <row r="888" spans="21:21" x14ac:dyDescent="0.2">
      <c r="U888" s="78"/>
    </row>
    <row r="889" spans="21:21" x14ac:dyDescent="0.2">
      <c r="U889" s="78"/>
    </row>
    <row r="890" spans="21:21" x14ac:dyDescent="0.2">
      <c r="U890" s="78"/>
    </row>
    <row r="891" spans="21:21" x14ac:dyDescent="0.2">
      <c r="U891" s="78"/>
    </row>
    <row r="892" spans="21:21" x14ac:dyDescent="0.2">
      <c r="U892" s="78"/>
    </row>
    <row r="893" spans="21:21" x14ac:dyDescent="0.2">
      <c r="U893" s="78"/>
    </row>
    <row r="894" spans="21:21" x14ac:dyDescent="0.2">
      <c r="U894" s="78"/>
    </row>
    <row r="895" spans="21:21" x14ac:dyDescent="0.2">
      <c r="U895" s="78"/>
    </row>
    <row r="896" spans="21:21" x14ac:dyDescent="0.2">
      <c r="U896" s="78"/>
    </row>
    <row r="897" spans="21:21" x14ac:dyDescent="0.2">
      <c r="U897" s="78"/>
    </row>
    <row r="898" spans="21:21" x14ac:dyDescent="0.2">
      <c r="U898" s="78"/>
    </row>
    <row r="899" spans="21:21" x14ac:dyDescent="0.2">
      <c r="U899" s="78"/>
    </row>
    <row r="900" spans="21:21" x14ac:dyDescent="0.2">
      <c r="U900" s="78"/>
    </row>
    <row r="901" spans="21:21" x14ac:dyDescent="0.2">
      <c r="U901" s="78"/>
    </row>
    <row r="902" spans="21:21" x14ac:dyDescent="0.2">
      <c r="U902" s="78"/>
    </row>
    <row r="903" spans="21:21" x14ac:dyDescent="0.2">
      <c r="U903" s="78"/>
    </row>
    <row r="904" spans="21:21" x14ac:dyDescent="0.2">
      <c r="U904" s="78"/>
    </row>
    <row r="905" spans="21:21" x14ac:dyDescent="0.2">
      <c r="U905" s="78"/>
    </row>
    <row r="906" spans="21:21" x14ac:dyDescent="0.2">
      <c r="U906" s="78"/>
    </row>
    <row r="907" spans="21:21" x14ac:dyDescent="0.2">
      <c r="U907" s="78"/>
    </row>
    <row r="908" spans="21:21" x14ac:dyDescent="0.2">
      <c r="U908" s="78"/>
    </row>
    <row r="909" spans="21:21" x14ac:dyDescent="0.2">
      <c r="U909" s="78"/>
    </row>
    <row r="910" spans="21:21" x14ac:dyDescent="0.2">
      <c r="U910" s="78"/>
    </row>
    <row r="911" spans="21:21" x14ac:dyDescent="0.2">
      <c r="U911" s="78"/>
    </row>
    <row r="912" spans="21:21" x14ac:dyDescent="0.2">
      <c r="U912" s="78"/>
    </row>
    <row r="913" spans="21:21" x14ac:dyDescent="0.2">
      <c r="U913" s="78"/>
    </row>
    <row r="914" spans="21:21" x14ac:dyDescent="0.2">
      <c r="U914" s="78"/>
    </row>
    <row r="915" spans="21:21" x14ac:dyDescent="0.2">
      <c r="U915" s="78"/>
    </row>
    <row r="916" spans="21:21" x14ac:dyDescent="0.2">
      <c r="U916" s="78"/>
    </row>
    <row r="917" spans="21:21" x14ac:dyDescent="0.2">
      <c r="U917" s="78"/>
    </row>
    <row r="918" spans="21:21" x14ac:dyDescent="0.2">
      <c r="U918" s="78"/>
    </row>
    <row r="919" spans="21:21" x14ac:dyDescent="0.2">
      <c r="U919" s="78"/>
    </row>
    <row r="920" spans="21:21" x14ac:dyDescent="0.2">
      <c r="U920" s="78"/>
    </row>
    <row r="921" spans="21:21" x14ac:dyDescent="0.2">
      <c r="U921" s="78"/>
    </row>
    <row r="922" spans="21:21" x14ac:dyDescent="0.2">
      <c r="U922" s="78"/>
    </row>
    <row r="923" spans="21:21" x14ac:dyDescent="0.2">
      <c r="U923" s="78"/>
    </row>
    <row r="924" spans="21:21" x14ac:dyDescent="0.2">
      <c r="U924" s="78"/>
    </row>
    <row r="925" spans="21:21" x14ac:dyDescent="0.2">
      <c r="U925" s="78"/>
    </row>
    <row r="926" spans="21:21" x14ac:dyDescent="0.2">
      <c r="U926" s="78"/>
    </row>
    <row r="927" spans="21:21" x14ac:dyDescent="0.2">
      <c r="U927" s="78"/>
    </row>
    <row r="928" spans="21:21" x14ac:dyDescent="0.2">
      <c r="U928" s="78"/>
    </row>
    <row r="929" spans="21:21" x14ac:dyDescent="0.2">
      <c r="U929" s="78"/>
    </row>
    <row r="930" spans="21:21" x14ac:dyDescent="0.2">
      <c r="U930" s="78"/>
    </row>
    <row r="931" spans="21:21" x14ac:dyDescent="0.2">
      <c r="U931" s="78"/>
    </row>
    <row r="932" spans="21:21" x14ac:dyDescent="0.2">
      <c r="U932" s="78"/>
    </row>
    <row r="933" spans="21:21" x14ac:dyDescent="0.2">
      <c r="U933" s="78"/>
    </row>
    <row r="934" spans="21:21" x14ac:dyDescent="0.2">
      <c r="U934" s="78"/>
    </row>
    <row r="935" spans="21:21" x14ac:dyDescent="0.2">
      <c r="U935" s="78"/>
    </row>
    <row r="936" spans="21:21" x14ac:dyDescent="0.2">
      <c r="U936" s="78"/>
    </row>
    <row r="937" spans="21:21" x14ac:dyDescent="0.2">
      <c r="U937" s="78"/>
    </row>
    <row r="938" spans="21:21" x14ac:dyDescent="0.2">
      <c r="U938" s="78"/>
    </row>
    <row r="939" spans="21:21" x14ac:dyDescent="0.2">
      <c r="U939" s="78"/>
    </row>
    <row r="940" spans="21:21" x14ac:dyDescent="0.2">
      <c r="U940" s="78"/>
    </row>
    <row r="941" spans="21:21" x14ac:dyDescent="0.2">
      <c r="U941" s="78"/>
    </row>
    <row r="942" spans="21:21" x14ac:dyDescent="0.2">
      <c r="U942" s="78"/>
    </row>
    <row r="943" spans="21:21" x14ac:dyDescent="0.2">
      <c r="U943" s="78"/>
    </row>
    <row r="944" spans="21:21" x14ac:dyDescent="0.2">
      <c r="U944" s="78"/>
    </row>
    <row r="945" spans="21:21" x14ac:dyDescent="0.2">
      <c r="U945" s="78"/>
    </row>
    <row r="946" spans="21:21" x14ac:dyDescent="0.2">
      <c r="U946" s="78"/>
    </row>
    <row r="947" spans="21:21" x14ac:dyDescent="0.2">
      <c r="U947" s="78"/>
    </row>
    <row r="948" spans="21:21" x14ac:dyDescent="0.2">
      <c r="U948" s="78"/>
    </row>
    <row r="949" spans="21:21" x14ac:dyDescent="0.2">
      <c r="U949" s="78"/>
    </row>
    <row r="950" spans="21:21" x14ac:dyDescent="0.2">
      <c r="U950" s="78"/>
    </row>
    <row r="951" spans="21:21" x14ac:dyDescent="0.2">
      <c r="U951" s="78"/>
    </row>
    <row r="952" spans="21:21" x14ac:dyDescent="0.2">
      <c r="U952" s="78"/>
    </row>
    <row r="953" spans="21:21" x14ac:dyDescent="0.2">
      <c r="U953" s="78"/>
    </row>
    <row r="954" spans="21:21" x14ac:dyDescent="0.2">
      <c r="U954" s="78"/>
    </row>
    <row r="955" spans="21:21" x14ac:dyDescent="0.2">
      <c r="U955" s="78"/>
    </row>
    <row r="956" spans="21:21" x14ac:dyDescent="0.2">
      <c r="U956" s="78"/>
    </row>
    <row r="957" spans="21:21" x14ac:dyDescent="0.2">
      <c r="U957" s="78"/>
    </row>
    <row r="958" spans="21:21" x14ac:dyDescent="0.2">
      <c r="U958" s="78"/>
    </row>
    <row r="959" spans="21:21" x14ac:dyDescent="0.2">
      <c r="U959" s="78"/>
    </row>
    <row r="960" spans="21:21" x14ac:dyDescent="0.2">
      <c r="U960" s="78"/>
    </row>
    <row r="961" spans="21:21" x14ac:dyDescent="0.2">
      <c r="U961" s="78"/>
    </row>
    <row r="962" spans="21:21" x14ac:dyDescent="0.2">
      <c r="U962" s="78"/>
    </row>
    <row r="963" spans="21:21" x14ac:dyDescent="0.2">
      <c r="U963" s="78"/>
    </row>
    <row r="964" spans="21:21" x14ac:dyDescent="0.2">
      <c r="U964" s="78"/>
    </row>
    <row r="965" spans="21:21" x14ac:dyDescent="0.2">
      <c r="U965" s="78"/>
    </row>
    <row r="966" spans="21:21" x14ac:dyDescent="0.2">
      <c r="U966" s="78"/>
    </row>
    <row r="967" spans="21:21" x14ac:dyDescent="0.2">
      <c r="U967" s="78"/>
    </row>
    <row r="968" spans="21:21" x14ac:dyDescent="0.2">
      <c r="U968" s="78"/>
    </row>
    <row r="969" spans="21:21" x14ac:dyDescent="0.2">
      <c r="U969" s="78"/>
    </row>
    <row r="970" spans="21:21" x14ac:dyDescent="0.2">
      <c r="U970" s="78"/>
    </row>
    <row r="971" spans="21:21" x14ac:dyDescent="0.2">
      <c r="U971" s="78"/>
    </row>
    <row r="972" spans="21:21" x14ac:dyDescent="0.2">
      <c r="U972" s="78"/>
    </row>
    <row r="973" spans="21:21" x14ac:dyDescent="0.2">
      <c r="U973" s="78"/>
    </row>
    <row r="974" spans="21:21" x14ac:dyDescent="0.2">
      <c r="U974" s="78"/>
    </row>
    <row r="975" spans="21:21" x14ac:dyDescent="0.2">
      <c r="U975" s="78"/>
    </row>
    <row r="976" spans="21:21" x14ac:dyDescent="0.2">
      <c r="U976" s="78"/>
    </row>
    <row r="977" spans="21:21" x14ac:dyDescent="0.2">
      <c r="U977" s="78"/>
    </row>
    <row r="978" spans="21:21" x14ac:dyDescent="0.2">
      <c r="U978" s="78"/>
    </row>
    <row r="979" spans="21:21" x14ac:dyDescent="0.2">
      <c r="U979" s="78"/>
    </row>
    <row r="980" spans="21:21" x14ac:dyDescent="0.2">
      <c r="U980" s="78"/>
    </row>
    <row r="981" spans="21:21" x14ac:dyDescent="0.2">
      <c r="U981" s="78"/>
    </row>
    <row r="982" spans="21:21" x14ac:dyDescent="0.2">
      <c r="U982" s="78"/>
    </row>
    <row r="983" spans="21:21" x14ac:dyDescent="0.2">
      <c r="U983" s="78"/>
    </row>
    <row r="984" spans="21:21" x14ac:dyDescent="0.2">
      <c r="U984" s="78"/>
    </row>
    <row r="985" spans="21:21" x14ac:dyDescent="0.2">
      <c r="U985" s="78"/>
    </row>
    <row r="986" spans="21:21" x14ac:dyDescent="0.2">
      <c r="U986" s="78"/>
    </row>
    <row r="987" spans="21:21" x14ac:dyDescent="0.2">
      <c r="U987" s="78"/>
    </row>
    <row r="988" spans="21:21" x14ac:dyDescent="0.2">
      <c r="U988" s="78"/>
    </row>
    <row r="989" spans="21:21" x14ac:dyDescent="0.2">
      <c r="U989" s="78"/>
    </row>
    <row r="990" spans="21:21" x14ac:dyDescent="0.2">
      <c r="U990" s="78"/>
    </row>
    <row r="991" spans="21:21" x14ac:dyDescent="0.2">
      <c r="U991" s="78"/>
    </row>
    <row r="992" spans="21:21" x14ac:dyDescent="0.2">
      <c r="U992" s="78"/>
    </row>
    <row r="993" spans="21:21" x14ac:dyDescent="0.2">
      <c r="U993" s="78"/>
    </row>
    <row r="994" spans="21:21" x14ac:dyDescent="0.2">
      <c r="U994" s="78"/>
    </row>
    <row r="995" spans="21:21" x14ac:dyDescent="0.2">
      <c r="U995" s="78"/>
    </row>
    <row r="996" spans="21:21" x14ac:dyDescent="0.2">
      <c r="U996" s="78"/>
    </row>
    <row r="997" spans="21:21" x14ac:dyDescent="0.2">
      <c r="U997" s="78"/>
    </row>
    <row r="998" spans="21:21" x14ac:dyDescent="0.2">
      <c r="U998" s="78"/>
    </row>
    <row r="999" spans="21:21" x14ac:dyDescent="0.2">
      <c r="U999" s="78"/>
    </row>
    <row r="1000" spans="21:21" x14ac:dyDescent="0.2">
      <c r="U1000" s="78"/>
    </row>
    <row r="1001" spans="21:21" x14ac:dyDescent="0.2">
      <c r="U1001" s="78"/>
    </row>
    <row r="1002" spans="21:21" x14ac:dyDescent="0.2">
      <c r="U1002" s="78"/>
    </row>
    <row r="1003" spans="21:21" x14ac:dyDescent="0.2">
      <c r="U1003" s="78"/>
    </row>
    <row r="1004" spans="21:21" x14ac:dyDescent="0.2">
      <c r="U1004" s="78"/>
    </row>
    <row r="1005" spans="21:21" x14ac:dyDescent="0.2">
      <c r="U1005" s="78"/>
    </row>
    <row r="1006" spans="21:21" x14ac:dyDescent="0.2">
      <c r="U1006" s="78"/>
    </row>
    <row r="1007" spans="21:21" x14ac:dyDescent="0.2">
      <c r="U1007" s="78"/>
    </row>
    <row r="1008" spans="21:21" x14ac:dyDescent="0.2">
      <c r="U1008" s="78"/>
    </row>
    <row r="1009" spans="21:21" x14ac:dyDescent="0.2">
      <c r="U1009" s="78"/>
    </row>
    <row r="1010" spans="21:21" x14ac:dyDescent="0.2">
      <c r="U1010" s="78"/>
    </row>
    <row r="1011" spans="21:21" x14ac:dyDescent="0.2">
      <c r="U1011" s="78"/>
    </row>
    <row r="1012" spans="21:21" x14ac:dyDescent="0.2">
      <c r="U1012" s="78"/>
    </row>
    <row r="1013" spans="21:21" x14ac:dyDescent="0.2">
      <c r="U1013" s="78"/>
    </row>
    <row r="1014" spans="21:21" x14ac:dyDescent="0.2">
      <c r="U1014" s="78"/>
    </row>
    <row r="1015" spans="21:21" x14ac:dyDescent="0.2">
      <c r="U1015" s="78"/>
    </row>
    <row r="1016" spans="21:21" x14ac:dyDescent="0.2">
      <c r="U1016" s="78"/>
    </row>
    <row r="1017" spans="21:21" x14ac:dyDescent="0.2">
      <c r="U1017" s="78"/>
    </row>
    <row r="1018" spans="21:21" x14ac:dyDescent="0.2">
      <c r="U1018" s="78"/>
    </row>
    <row r="1019" spans="21:21" x14ac:dyDescent="0.2">
      <c r="U1019" s="78"/>
    </row>
    <row r="1020" spans="21:21" x14ac:dyDescent="0.2">
      <c r="U1020" s="78"/>
    </row>
    <row r="1021" spans="21:21" x14ac:dyDescent="0.2">
      <c r="U1021" s="78"/>
    </row>
    <row r="1022" spans="21:21" x14ac:dyDescent="0.2">
      <c r="U1022" s="78"/>
    </row>
    <row r="1023" spans="21:21" x14ac:dyDescent="0.2">
      <c r="U1023" s="78"/>
    </row>
    <row r="1024" spans="21:21" x14ac:dyDescent="0.2">
      <c r="U1024" s="78"/>
    </row>
    <row r="1025" spans="21:21" x14ac:dyDescent="0.2">
      <c r="U1025" s="78"/>
    </row>
    <row r="1026" spans="21:21" x14ac:dyDescent="0.2">
      <c r="U1026" s="78"/>
    </row>
    <row r="1027" spans="21:21" x14ac:dyDescent="0.2">
      <c r="U1027" s="78"/>
    </row>
    <row r="1028" spans="21:21" x14ac:dyDescent="0.2">
      <c r="U1028" s="78"/>
    </row>
    <row r="1029" spans="21:21" x14ac:dyDescent="0.2">
      <c r="U1029" s="78"/>
    </row>
    <row r="1030" spans="21:21" x14ac:dyDescent="0.2">
      <c r="U1030" s="78"/>
    </row>
    <row r="1031" spans="21:21" x14ac:dyDescent="0.2">
      <c r="U1031" s="78"/>
    </row>
    <row r="1032" spans="21:21" x14ac:dyDescent="0.2">
      <c r="U1032" s="78"/>
    </row>
    <row r="1033" spans="21:21" x14ac:dyDescent="0.2">
      <c r="U1033" s="78"/>
    </row>
    <row r="1034" spans="21:21" x14ac:dyDescent="0.2">
      <c r="U1034" s="78"/>
    </row>
    <row r="1035" spans="21:21" x14ac:dyDescent="0.2">
      <c r="U1035" s="78"/>
    </row>
    <row r="1036" spans="21:21" x14ac:dyDescent="0.2">
      <c r="U1036" s="78"/>
    </row>
    <row r="1037" spans="21:21" x14ac:dyDescent="0.2">
      <c r="U1037" s="78"/>
    </row>
    <row r="1038" spans="21:21" x14ac:dyDescent="0.2">
      <c r="U1038" s="78"/>
    </row>
    <row r="1039" spans="21:21" x14ac:dyDescent="0.2">
      <c r="U1039" s="78"/>
    </row>
    <row r="1040" spans="21:21" x14ac:dyDescent="0.2">
      <c r="U1040" s="78"/>
    </row>
    <row r="1041" spans="21:21" x14ac:dyDescent="0.2">
      <c r="U1041" s="78"/>
    </row>
    <row r="1042" spans="21:21" x14ac:dyDescent="0.2">
      <c r="U1042" s="78"/>
    </row>
    <row r="1043" spans="21:21" x14ac:dyDescent="0.2">
      <c r="U1043" s="78"/>
    </row>
    <row r="1044" spans="21:21" x14ac:dyDescent="0.2">
      <c r="U1044" s="78"/>
    </row>
    <row r="1045" spans="21:21" x14ac:dyDescent="0.2">
      <c r="U1045" s="78"/>
    </row>
    <row r="1046" spans="21:21" x14ac:dyDescent="0.2">
      <c r="U1046" s="78"/>
    </row>
    <row r="1047" spans="21:21" x14ac:dyDescent="0.2">
      <c r="U1047" s="78"/>
    </row>
    <row r="1048" spans="21:21" x14ac:dyDescent="0.2">
      <c r="U1048" s="78"/>
    </row>
    <row r="1049" spans="21:21" x14ac:dyDescent="0.2">
      <c r="U1049" s="78"/>
    </row>
    <row r="1050" spans="21:21" x14ac:dyDescent="0.2">
      <c r="U1050" s="78"/>
    </row>
    <row r="1051" spans="21:21" x14ac:dyDescent="0.2">
      <c r="U1051" s="78"/>
    </row>
    <row r="1052" spans="21:21" x14ac:dyDescent="0.2">
      <c r="U1052" s="78"/>
    </row>
    <row r="1053" spans="21:21" x14ac:dyDescent="0.2">
      <c r="U1053" s="78"/>
    </row>
    <row r="1054" spans="21:21" x14ac:dyDescent="0.2">
      <c r="U1054" s="78"/>
    </row>
    <row r="1055" spans="21:21" x14ac:dyDescent="0.2">
      <c r="U1055" s="78"/>
    </row>
    <row r="1056" spans="21:21" x14ac:dyDescent="0.2">
      <c r="U1056" s="78"/>
    </row>
    <row r="1057" spans="21:21" x14ac:dyDescent="0.2">
      <c r="U1057" s="78"/>
    </row>
    <row r="1058" spans="21:21" x14ac:dyDescent="0.2">
      <c r="U1058" s="78"/>
    </row>
    <row r="1059" spans="21:21" x14ac:dyDescent="0.2">
      <c r="U1059" s="78"/>
    </row>
    <row r="1060" spans="21:21" x14ac:dyDescent="0.2">
      <c r="U1060" s="78"/>
    </row>
    <row r="1061" spans="21:21" x14ac:dyDescent="0.2">
      <c r="U1061" s="78"/>
    </row>
    <row r="1062" spans="21:21" x14ac:dyDescent="0.2">
      <c r="U1062" s="78"/>
    </row>
    <row r="1063" spans="21:21" x14ac:dyDescent="0.2">
      <c r="U1063" s="78"/>
    </row>
    <row r="1064" spans="21:21" x14ac:dyDescent="0.2">
      <c r="U1064" s="78"/>
    </row>
    <row r="1065" spans="21:21" x14ac:dyDescent="0.2">
      <c r="U1065" s="78"/>
    </row>
    <row r="1066" spans="21:21" x14ac:dyDescent="0.2">
      <c r="U1066" s="78"/>
    </row>
    <row r="1067" spans="21:21" x14ac:dyDescent="0.2">
      <c r="U1067" s="78"/>
    </row>
    <row r="1068" spans="21:21" x14ac:dyDescent="0.2">
      <c r="U1068" s="78"/>
    </row>
    <row r="1069" spans="21:21" x14ac:dyDescent="0.2">
      <c r="U1069" s="78"/>
    </row>
    <row r="1070" spans="21:21" x14ac:dyDescent="0.2">
      <c r="U1070" s="78"/>
    </row>
    <row r="1071" spans="21:21" x14ac:dyDescent="0.2">
      <c r="U1071" s="78"/>
    </row>
    <row r="1072" spans="21:21" x14ac:dyDescent="0.2">
      <c r="U1072" s="78"/>
    </row>
    <row r="1073" spans="21:21" x14ac:dyDescent="0.2">
      <c r="U1073" s="78"/>
    </row>
    <row r="1074" spans="21:21" x14ac:dyDescent="0.2">
      <c r="U1074" s="78"/>
    </row>
    <row r="1075" spans="21:21" x14ac:dyDescent="0.2">
      <c r="U1075" s="78"/>
    </row>
    <row r="1076" spans="21:21" x14ac:dyDescent="0.2">
      <c r="U1076" s="78"/>
    </row>
    <row r="1077" spans="21:21" x14ac:dyDescent="0.2">
      <c r="U1077" s="78"/>
    </row>
    <row r="1078" spans="21:21" x14ac:dyDescent="0.2">
      <c r="U1078" s="78"/>
    </row>
    <row r="1079" spans="21:21" x14ac:dyDescent="0.2">
      <c r="U1079" s="78"/>
    </row>
    <row r="1080" spans="21:21" x14ac:dyDescent="0.2">
      <c r="U1080" s="78"/>
    </row>
    <row r="1081" spans="21:21" x14ac:dyDescent="0.2">
      <c r="U1081" s="78"/>
    </row>
    <row r="1082" spans="21:21" x14ac:dyDescent="0.2">
      <c r="U1082" s="78"/>
    </row>
    <row r="1083" spans="21:21" x14ac:dyDescent="0.2">
      <c r="U1083" s="78"/>
    </row>
    <row r="1084" spans="21:21" x14ac:dyDescent="0.2">
      <c r="U1084" s="78"/>
    </row>
    <row r="1085" spans="21:21" x14ac:dyDescent="0.2">
      <c r="U1085" s="78"/>
    </row>
    <row r="1086" spans="21:21" x14ac:dyDescent="0.2">
      <c r="U1086" s="78"/>
    </row>
    <row r="1087" spans="21:21" x14ac:dyDescent="0.2">
      <c r="U1087" s="78"/>
    </row>
    <row r="1088" spans="21:21" x14ac:dyDescent="0.2">
      <c r="U1088" s="78"/>
    </row>
    <row r="1089" spans="21:21" x14ac:dyDescent="0.2">
      <c r="U1089" s="78"/>
    </row>
    <row r="1090" spans="21:21" x14ac:dyDescent="0.2">
      <c r="U1090" s="78"/>
    </row>
    <row r="1091" spans="21:21" x14ac:dyDescent="0.2">
      <c r="U1091" s="78"/>
    </row>
    <row r="1092" spans="21:21" x14ac:dyDescent="0.2">
      <c r="U1092" s="78"/>
    </row>
    <row r="1093" spans="21:21" x14ac:dyDescent="0.2">
      <c r="U1093" s="78"/>
    </row>
    <row r="1094" spans="21:21" x14ac:dyDescent="0.2">
      <c r="U1094" s="78"/>
    </row>
    <row r="1095" spans="21:21" x14ac:dyDescent="0.2">
      <c r="U1095" s="78"/>
    </row>
    <row r="1096" spans="21:21" x14ac:dyDescent="0.2">
      <c r="U1096" s="78"/>
    </row>
    <row r="1097" spans="21:21" x14ac:dyDescent="0.2">
      <c r="U1097" s="78"/>
    </row>
    <row r="1098" spans="21:21" x14ac:dyDescent="0.2">
      <c r="U1098" s="78"/>
    </row>
    <row r="1099" spans="21:21" x14ac:dyDescent="0.2">
      <c r="U1099" s="78"/>
    </row>
    <row r="1100" spans="21:21" x14ac:dyDescent="0.2">
      <c r="U1100" s="78"/>
    </row>
    <row r="1101" spans="21:21" x14ac:dyDescent="0.2">
      <c r="U1101" s="78"/>
    </row>
    <row r="1102" spans="21:21" x14ac:dyDescent="0.2">
      <c r="U1102" s="78"/>
    </row>
    <row r="1103" spans="21:21" x14ac:dyDescent="0.2">
      <c r="U1103" s="78"/>
    </row>
    <row r="1104" spans="21:21" x14ac:dyDescent="0.2">
      <c r="U1104" s="78"/>
    </row>
    <row r="1105" spans="21:21" x14ac:dyDescent="0.2">
      <c r="U1105" s="78"/>
    </row>
    <row r="1106" spans="21:21" x14ac:dyDescent="0.2">
      <c r="U1106" s="78"/>
    </row>
    <row r="1107" spans="21:21" x14ac:dyDescent="0.2">
      <c r="U1107" s="78"/>
    </row>
    <row r="1108" spans="21:21" x14ac:dyDescent="0.2">
      <c r="U1108" s="78"/>
    </row>
    <row r="1109" spans="21:21" x14ac:dyDescent="0.2">
      <c r="U1109" s="78"/>
    </row>
    <row r="1110" spans="21:21" x14ac:dyDescent="0.2">
      <c r="U1110" s="78"/>
    </row>
    <row r="1111" spans="21:21" x14ac:dyDescent="0.2">
      <c r="U1111" s="78"/>
    </row>
    <row r="1112" spans="21:21" x14ac:dyDescent="0.2">
      <c r="U1112" s="78"/>
    </row>
    <row r="1113" spans="21:21" x14ac:dyDescent="0.2">
      <c r="U1113" s="78"/>
    </row>
    <row r="1114" spans="21:21" x14ac:dyDescent="0.2">
      <c r="U1114" s="78"/>
    </row>
    <row r="1115" spans="21:21" x14ac:dyDescent="0.2">
      <c r="U1115" s="78"/>
    </row>
    <row r="1116" spans="21:21" x14ac:dyDescent="0.2">
      <c r="U1116" s="78"/>
    </row>
    <row r="1117" spans="21:21" x14ac:dyDescent="0.2">
      <c r="U1117" s="78"/>
    </row>
    <row r="1118" spans="21:21" x14ac:dyDescent="0.2">
      <c r="U1118" s="78"/>
    </row>
    <row r="1119" spans="21:21" x14ac:dyDescent="0.2">
      <c r="U1119" s="78"/>
    </row>
    <row r="1120" spans="21:21" x14ac:dyDescent="0.2">
      <c r="U1120" s="78"/>
    </row>
    <row r="1121" spans="21:21" x14ac:dyDescent="0.2">
      <c r="U1121" s="78"/>
    </row>
    <row r="1122" spans="21:21" x14ac:dyDescent="0.2">
      <c r="U1122" s="78"/>
    </row>
    <row r="1123" spans="21:21" x14ac:dyDescent="0.2">
      <c r="U1123" s="78"/>
    </row>
    <row r="1124" spans="21:21" x14ac:dyDescent="0.2">
      <c r="U1124" s="78"/>
    </row>
    <row r="1125" spans="21:21" x14ac:dyDescent="0.2">
      <c r="U1125" s="78"/>
    </row>
    <row r="1126" spans="21:21" x14ac:dyDescent="0.2">
      <c r="U1126" s="78"/>
    </row>
    <row r="1127" spans="21:21" x14ac:dyDescent="0.2">
      <c r="U1127" s="78"/>
    </row>
    <row r="1128" spans="21:21" x14ac:dyDescent="0.2">
      <c r="U1128" s="78"/>
    </row>
    <row r="1129" spans="21:21" x14ac:dyDescent="0.2">
      <c r="U1129" s="78"/>
    </row>
    <row r="1130" spans="21:21" x14ac:dyDescent="0.2">
      <c r="U1130" s="78"/>
    </row>
    <row r="1131" spans="21:21" x14ac:dyDescent="0.2">
      <c r="U1131" s="78"/>
    </row>
    <row r="1132" spans="21:21" x14ac:dyDescent="0.2">
      <c r="U1132" s="78"/>
    </row>
    <row r="1133" spans="21:21" x14ac:dyDescent="0.2">
      <c r="U1133" s="78"/>
    </row>
    <row r="1134" spans="21:21" x14ac:dyDescent="0.2">
      <c r="U1134" s="78"/>
    </row>
    <row r="1135" spans="21:21" x14ac:dyDescent="0.2">
      <c r="U1135" s="78"/>
    </row>
    <row r="1136" spans="21:21" x14ac:dyDescent="0.2">
      <c r="U1136" s="78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BA1D-0E22-4249-A5BD-C796AF58CC3F}">
  <dimension ref="A1:K35"/>
  <sheetViews>
    <sheetView workbookViewId="0"/>
  </sheetViews>
  <sheetFormatPr defaultColWidth="9.28515625" defaultRowHeight="15" x14ac:dyDescent="0.25"/>
  <cols>
    <col min="1" max="1" width="85.7109375" bestFit="1" customWidth="1"/>
    <col min="2" max="2" width="24.42578125" bestFit="1" customWidth="1"/>
    <col min="3" max="3" width="14.140625" bestFit="1" customWidth="1"/>
    <col min="4" max="4" width="13.140625" bestFit="1" customWidth="1"/>
    <col min="5" max="5" width="13.85546875" bestFit="1" customWidth="1"/>
    <col min="6" max="6" width="10.5703125" bestFit="1" customWidth="1"/>
    <col min="7" max="7" width="13.140625" bestFit="1" customWidth="1"/>
    <col min="8" max="8" width="11" bestFit="1" customWidth="1"/>
    <col min="9" max="9" width="14.42578125" bestFit="1" customWidth="1"/>
    <col min="10" max="10" width="13.5703125" bestFit="1" customWidth="1"/>
  </cols>
  <sheetData>
    <row r="1" spans="1:11" s="86" customFormat="1" x14ac:dyDescent="0.25">
      <c r="A1" s="59" t="s">
        <v>204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1" s="86" customFormat="1" x14ac:dyDescent="0.25">
      <c r="A2" s="59"/>
      <c r="B2" s="161"/>
      <c r="C2" s="161"/>
      <c r="D2" s="161"/>
      <c r="E2" s="161"/>
      <c r="F2" s="161"/>
      <c r="G2" s="161"/>
      <c r="H2" s="161"/>
      <c r="I2" s="161"/>
      <c r="J2" s="161"/>
    </row>
    <row r="3" spans="1:11" s="75" customFormat="1" x14ac:dyDescent="0.25">
      <c r="A3" s="58" t="s">
        <v>204</v>
      </c>
      <c r="B3" s="58" t="s">
        <v>208</v>
      </c>
      <c r="C3" s="58" t="s">
        <v>535</v>
      </c>
      <c r="D3" s="58" t="s">
        <v>536</v>
      </c>
      <c r="E3" s="58" t="s">
        <v>537</v>
      </c>
      <c r="F3" s="58" t="s">
        <v>538</v>
      </c>
      <c r="G3" s="58" t="s">
        <v>539</v>
      </c>
      <c r="H3" s="58" t="s">
        <v>540</v>
      </c>
      <c r="I3" s="58" t="s">
        <v>541</v>
      </c>
      <c r="J3" s="58" t="s">
        <v>542</v>
      </c>
    </row>
    <row r="4" spans="1:11" x14ac:dyDescent="0.25">
      <c r="A4" s="162" t="s">
        <v>213</v>
      </c>
      <c r="B4" s="42" t="s">
        <v>18</v>
      </c>
      <c r="C4" s="64" t="s">
        <v>6</v>
      </c>
      <c r="D4" s="64" t="s">
        <v>6</v>
      </c>
      <c r="E4" s="64" t="s">
        <v>6</v>
      </c>
      <c r="F4" s="64" t="s">
        <v>6</v>
      </c>
      <c r="G4" s="64" t="s">
        <v>12</v>
      </c>
      <c r="H4" s="64" t="s">
        <v>12</v>
      </c>
      <c r="I4" s="64" t="s">
        <v>12</v>
      </c>
      <c r="J4" s="64" t="s">
        <v>12</v>
      </c>
    </row>
    <row r="5" spans="1:11" x14ac:dyDescent="0.25">
      <c r="A5" s="162" t="s">
        <v>220</v>
      </c>
      <c r="B5" s="42"/>
      <c r="C5" s="64"/>
      <c r="D5" s="64"/>
      <c r="E5" s="64"/>
      <c r="F5" s="64"/>
      <c r="G5" s="64"/>
      <c r="H5" s="64"/>
      <c r="I5" s="64"/>
      <c r="J5" s="64"/>
    </row>
    <row r="6" spans="1:11" x14ac:dyDescent="0.25">
      <c r="A6" s="26" t="s">
        <v>543</v>
      </c>
      <c r="B6" s="27">
        <v>100</v>
      </c>
      <c r="C6" s="27">
        <v>101</v>
      </c>
      <c r="D6" s="27">
        <v>97</v>
      </c>
      <c r="E6" s="27">
        <v>101</v>
      </c>
      <c r="F6" s="27">
        <v>99</v>
      </c>
      <c r="G6" s="27">
        <v>102</v>
      </c>
      <c r="H6" s="27">
        <v>99</v>
      </c>
      <c r="I6" s="27">
        <v>104</v>
      </c>
      <c r="J6" s="27">
        <v>103</v>
      </c>
      <c r="K6" s="11"/>
    </row>
    <row r="7" spans="1:11" x14ac:dyDescent="0.25">
      <c r="A7" s="26" t="s">
        <v>544</v>
      </c>
      <c r="B7" s="27">
        <v>100</v>
      </c>
      <c r="C7" s="27">
        <v>101</v>
      </c>
      <c r="D7" s="27">
        <v>98</v>
      </c>
      <c r="E7" s="27">
        <v>98</v>
      </c>
      <c r="F7" s="27">
        <v>100</v>
      </c>
      <c r="G7" s="27">
        <v>104</v>
      </c>
      <c r="H7" s="27">
        <v>99</v>
      </c>
      <c r="I7" s="27">
        <v>104</v>
      </c>
      <c r="J7" s="27">
        <v>99</v>
      </c>
      <c r="K7" s="11"/>
    </row>
    <row r="8" spans="1:11" x14ac:dyDescent="0.25">
      <c r="A8" s="26" t="s">
        <v>545</v>
      </c>
      <c r="B8" s="27">
        <v>100</v>
      </c>
      <c r="C8" s="27">
        <v>100</v>
      </c>
      <c r="D8" s="27">
        <v>96</v>
      </c>
      <c r="E8" s="27">
        <v>103</v>
      </c>
      <c r="F8" s="27">
        <v>102</v>
      </c>
      <c r="G8" s="27">
        <v>103</v>
      </c>
      <c r="H8" s="27">
        <v>102</v>
      </c>
      <c r="I8" s="27">
        <v>107</v>
      </c>
      <c r="J8" s="27">
        <v>103</v>
      </c>
      <c r="K8" s="11"/>
    </row>
    <row r="9" spans="1:11" x14ac:dyDescent="0.25">
      <c r="A9" s="26" t="s">
        <v>546</v>
      </c>
      <c r="B9" s="27">
        <v>100</v>
      </c>
      <c r="C9" s="27">
        <v>100.7</v>
      </c>
      <c r="D9" s="27">
        <v>97.05</v>
      </c>
      <c r="E9" s="27">
        <v>100.53333333333333</v>
      </c>
      <c r="F9" s="27">
        <v>100.16666666666667</v>
      </c>
      <c r="G9" s="27">
        <v>103</v>
      </c>
      <c r="H9" s="27">
        <v>99.857142857142861</v>
      </c>
      <c r="I9" s="27">
        <v>105</v>
      </c>
      <c r="J9" s="27">
        <v>101.66666666666667</v>
      </c>
      <c r="K9" s="11"/>
    </row>
    <row r="10" spans="1:11" x14ac:dyDescent="0.25">
      <c r="A10" s="17" t="s">
        <v>547</v>
      </c>
      <c r="B10" s="27"/>
      <c r="C10" s="27"/>
      <c r="D10" s="27"/>
      <c r="E10" s="27"/>
      <c r="F10" s="27"/>
      <c r="G10" s="27"/>
      <c r="H10" s="27"/>
      <c r="I10" s="27"/>
      <c r="J10" s="27"/>
      <c r="K10" s="11"/>
    </row>
    <row r="11" spans="1:11" x14ac:dyDescent="0.25">
      <c r="A11" s="163" t="s">
        <v>548</v>
      </c>
      <c r="B11" s="91">
        <v>17.73</v>
      </c>
      <c r="C11" s="91">
        <v>16.96</v>
      </c>
      <c r="D11" s="91">
        <v>18.22</v>
      </c>
      <c r="E11" s="91">
        <v>17.88</v>
      </c>
      <c r="F11" s="91">
        <v>17.170000000000002</v>
      </c>
      <c r="G11" s="91">
        <v>16.61</v>
      </c>
      <c r="H11" s="40" t="s">
        <v>18</v>
      </c>
      <c r="I11" s="40" t="s">
        <v>18</v>
      </c>
      <c r="J11" s="40" t="s">
        <v>18</v>
      </c>
      <c r="K11" s="11"/>
    </row>
    <row r="12" spans="1:11" x14ac:dyDescent="0.25">
      <c r="A12" s="163" t="s">
        <v>549</v>
      </c>
      <c r="B12" s="91">
        <v>19.34</v>
      </c>
      <c r="C12" s="91">
        <v>18.420000000000002</v>
      </c>
      <c r="D12" s="91">
        <v>19.52</v>
      </c>
      <c r="E12" s="91">
        <v>19.27</v>
      </c>
      <c r="F12" s="91">
        <v>18.399999999999999</v>
      </c>
      <c r="G12" s="91">
        <v>18.53</v>
      </c>
      <c r="H12" s="91">
        <v>19.489999999999998</v>
      </c>
      <c r="I12" s="91">
        <v>18.91</v>
      </c>
      <c r="J12" s="91">
        <v>19.54</v>
      </c>
      <c r="K12" s="11"/>
    </row>
    <row r="13" spans="1:11" x14ac:dyDescent="0.25">
      <c r="A13" s="163" t="s">
        <v>550</v>
      </c>
      <c r="B13" s="91">
        <v>19.43</v>
      </c>
      <c r="C13" s="91">
        <v>18.75</v>
      </c>
      <c r="D13" s="91">
        <v>19.89</v>
      </c>
      <c r="E13" s="91">
        <v>19.329999999999998</v>
      </c>
      <c r="F13" s="91">
        <v>18.579999999999998</v>
      </c>
      <c r="G13" s="91">
        <v>19.059999999999999</v>
      </c>
      <c r="H13" s="91">
        <v>19.809999999999999</v>
      </c>
      <c r="I13" s="91">
        <v>19.350000000000001</v>
      </c>
      <c r="J13" s="91">
        <v>19.329999999999998</v>
      </c>
      <c r="K13" s="11"/>
    </row>
    <row r="14" spans="1:11" x14ac:dyDescent="0.25">
      <c r="A14" s="164" t="s">
        <v>239</v>
      </c>
      <c r="B14" s="91"/>
      <c r="C14" s="91"/>
      <c r="D14" s="91"/>
      <c r="E14" s="91"/>
      <c r="F14" s="91"/>
      <c r="G14" s="91"/>
      <c r="H14" s="91"/>
      <c r="I14" s="91"/>
      <c r="J14" s="91"/>
      <c r="K14" s="11"/>
    </row>
    <row r="15" spans="1:11" x14ac:dyDescent="0.25">
      <c r="A15" s="21" t="s">
        <v>385</v>
      </c>
      <c r="B15" s="27">
        <v>68.400000000000006</v>
      </c>
      <c r="C15" s="27">
        <v>66.8</v>
      </c>
      <c r="D15" s="27">
        <v>71.8</v>
      </c>
      <c r="E15" s="27">
        <v>65.7</v>
      </c>
      <c r="F15" s="27">
        <v>65.2</v>
      </c>
      <c r="G15" s="27">
        <v>70.400000000000006</v>
      </c>
      <c r="H15" s="27">
        <v>71.900000000000006</v>
      </c>
      <c r="I15" s="27">
        <v>69</v>
      </c>
      <c r="J15" s="27">
        <v>69.599999999999994</v>
      </c>
      <c r="K15" s="11"/>
    </row>
    <row r="16" spans="1:11" x14ac:dyDescent="0.25">
      <c r="A16" s="21" t="s">
        <v>386</v>
      </c>
      <c r="B16" s="27">
        <v>62.7</v>
      </c>
      <c r="C16" s="27">
        <v>60.4</v>
      </c>
      <c r="D16" s="27">
        <v>66.8</v>
      </c>
      <c r="E16" s="27">
        <v>62.2</v>
      </c>
      <c r="F16" s="27">
        <v>60</v>
      </c>
      <c r="G16" s="27">
        <v>64.8</v>
      </c>
      <c r="H16" s="27">
        <v>65.900000000000006</v>
      </c>
      <c r="I16" s="27">
        <v>67.400000000000006</v>
      </c>
      <c r="J16" s="27">
        <v>68.5</v>
      </c>
      <c r="K16" s="11"/>
    </row>
    <row r="17" spans="1:11" x14ac:dyDescent="0.25">
      <c r="A17" s="21" t="s">
        <v>435</v>
      </c>
      <c r="B17" s="27">
        <v>48</v>
      </c>
      <c r="C17" s="27">
        <v>47.3</v>
      </c>
      <c r="D17" s="27">
        <v>53.8</v>
      </c>
      <c r="E17" s="27">
        <v>46.9</v>
      </c>
      <c r="F17" s="27">
        <v>47.2</v>
      </c>
      <c r="G17" s="27">
        <v>49.3</v>
      </c>
      <c r="H17" s="27">
        <v>51.7</v>
      </c>
      <c r="I17" s="27">
        <v>50.5</v>
      </c>
      <c r="J17" s="27">
        <v>53</v>
      </c>
      <c r="K17" s="11"/>
    </row>
    <row r="18" spans="1:11" x14ac:dyDescent="0.25">
      <c r="A18" s="32" t="s">
        <v>551</v>
      </c>
      <c r="B18" s="27"/>
      <c r="C18" s="27"/>
      <c r="D18" s="27"/>
      <c r="E18" s="27"/>
      <c r="F18" s="27"/>
      <c r="G18" s="27"/>
      <c r="H18" s="27"/>
      <c r="I18" s="27"/>
      <c r="J18" s="27"/>
      <c r="K18" s="11"/>
    </row>
    <row r="19" spans="1:11" x14ac:dyDescent="0.25">
      <c r="A19" s="149" t="s">
        <v>552</v>
      </c>
      <c r="B19" s="64">
        <v>100</v>
      </c>
      <c r="C19" s="27">
        <v>98</v>
      </c>
      <c r="D19" s="27">
        <v>99</v>
      </c>
      <c r="E19" s="27">
        <v>105</v>
      </c>
      <c r="F19" s="27">
        <v>94</v>
      </c>
      <c r="G19" s="27">
        <v>105</v>
      </c>
      <c r="H19" s="27">
        <v>100</v>
      </c>
      <c r="I19" s="27">
        <v>104</v>
      </c>
      <c r="J19" s="27">
        <v>106</v>
      </c>
      <c r="K19" s="11"/>
    </row>
    <row r="20" spans="1:11" x14ac:dyDescent="0.25">
      <c r="A20" s="163" t="s">
        <v>553</v>
      </c>
      <c r="B20" s="27">
        <v>100</v>
      </c>
      <c r="C20" s="27">
        <v>93.441861845815893</v>
      </c>
      <c r="D20" s="27">
        <v>101.89829904711016</v>
      </c>
      <c r="E20" s="27">
        <v>106.15370914596136</v>
      </c>
      <c r="F20" s="27">
        <v>91.13295930180783</v>
      </c>
      <c r="G20" s="27">
        <v>98.810935969365033</v>
      </c>
      <c r="H20" s="79" t="s">
        <v>18</v>
      </c>
      <c r="I20" s="79" t="s">
        <v>18</v>
      </c>
      <c r="J20" s="79" t="s">
        <v>18</v>
      </c>
      <c r="K20" s="11"/>
    </row>
    <row r="21" spans="1:11" x14ac:dyDescent="0.25">
      <c r="A21" s="164" t="s">
        <v>554</v>
      </c>
      <c r="B21" s="27"/>
      <c r="C21" s="27"/>
      <c r="D21" s="27"/>
      <c r="E21" s="27"/>
      <c r="F21" s="27"/>
      <c r="G21" s="27"/>
      <c r="H21" s="79"/>
      <c r="I21" s="79"/>
      <c r="J21" s="79"/>
      <c r="K21" s="11"/>
    </row>
    <row r="22" spans="1:11" x14ac:dyDescent="0.25">
      <c r="A22" s="149" t="s">
        <v>555</v>
      </c>
      <c r="B22" s="27">
        <v>100</v>
      </c>
      <c r="C22" s="27">
        <v>104</v>
      </c>
      <c r="D22" s="27">
        <v>96</v>
      </c>
      <c r="E22" s="27">
        <v>96</v>
      </c>
      <c r="F22" s="27">
        <v>104</v>
      </c>
      <c r="G22" s="27">
        <v>101</v>
      </c>
      <c r="H22" s="27">
        <v>96</v>
      </c>
      <c r="I22" s="27">
        <v>102</v>
      </c>
      <c r="J22" s="27">
        <v>97</v>
      </c>
      <c r="K22" s="11"/>
    </row>
    <row r="23" spans="1:11" x14ac:dyDescent="0.25">
      <c r="A23" s="163" t="s">
        <v>556</v>
      </c>
      <c r="B23" s="27">
        <v>100</v>
      </c>
      <c r="C23" s="27">
        <v>98.95723211379422</v>
      </c>
      <c r="D23" s="27">
        <v>96.713552813888981</v>
      </c>
      <c r="E23" s="27">
        <v>96.02999253931263</v>
      </c>
      <c r="F23" s="27">
        <v>98.584773860516833</v>
      </c>
      <c r="G23" s="27">
        <v>96.879329863201519</v>
      </c>
      <c r="H23" s="27">
        <v>96.845627144227478</v>
      </c>
      <c r="I23" s="27">
        <v>99.41077853280828</v>
      </c>
      <c r="J23" s="27">
        <v>98.2198051003448</v>
      </c>
      <c r="K23" s="11"/>
    </row>
    <row r="24" spans="1:11" x14ac:dyDescent="0.25">
      <c r="A24" s="164" t="s">
        <v>557</v>
      </c>
      <c r="B24" s="27"/>
      <c r="C24" s="27"/>
      <c r="D24" s="27"/>
      <c r="E24" s="27"/>
      <c r="F24" s="27"/>
      <c r="G24" s="27"/>
      <c r="H24" s="27"/>
      <c r="I24" s="27"/>
      <c r="J24" s="27"/>
      <c r="K24" s="11"/>
    </row>
    <row r="25" spans="1:11" x14ac:dyDescent="0.25">
      <c r="A25" s="149" t="s">
        <v>558</v>
      </c>
      <c r="B25" s="27">
        <v>100</v>
      </c>
      <c r="C25" s="27">
        <v>103</v>
      </c>
      <c r="D25" s="27">
        <v>95</v>
      </c>
      <c r="E25" s="27">
        <v>98</v>
      </c>
      <c r="F25" s="27">
        <v>103</v>
      </c>
      <c r="G25" s="27">
        <v>99</v>
      </c>
      <c r="H25" s="27">
        <v>96</v>
      </c>
      <c r="I25" s="27">
        <v>109</v>
      </c>
      <c r="J25" s="27">
        <v>104</v>
      </c>
      <c r="K25" s="11"/>
    </row>
    <row r="26" spans="1:11" x14ac:dyDescent="0.25">
      <c r="A26" s="163" t="s">
        <v>559</v>
      </c>
      <c r="B26" s="27">
        <v>100</v>
      </c>
      <c r="C26" s="27">
        <v>99.647004855781077</v>
      </c>
      <c r="D26" s="27">
        <v>96.804023361453602</v>
      </c>
      <c r="E26" s="27">
        <v>97.683061454347452</v>
      </c>
      <c r="F26" s="27">
        <v>98.743538678421984</v>
      </c>
      <c r="G26" s="27">
        <v>97.029470339457134</v>
      </c>
      <c r="H26" s="27">
        <v>97.892285200683233</v>
      </c>
      <c r="I26" s="27">
        <v>108.24811474859585</v>
      </c>
      <c r="J26" s="27">
        <v>103.8107811765759</v>
      </c>
      <c r="K26" s="11"/>
    </row>
    <row r="27" spans="1:11" x14ac:dyDescent="0.25">
      <c r="A27" s="164" t="s">
        <v>245</v>
      </c>
      <c r="B27" s="27"/>
      <c r="C27" s="27"/>
      <c r="D27" s="27"/>
      <c r="E27" s="27"/>
      <c r="F27" s="27"/>
      <c r="G27" s="27"/>
      <c r="H27" s="27"/>
      <c r="I27" s="27"/>
      <c r="J27" s="27"/>
      <c r="K27" s="11"/>
    </row>
    <row r="28" spans="1:11" s="11" customFormat="1" x14ac:dyDescent="0.25">
      <c r="A28" s="96" t="s">
        <v>246</v>
      </c>
      <c r="B28" s="42" t="s">
        <v>18</v>
      </c>
      <c r="C28" s="42">
        <v>2010</v>
      </c>
      <c r="D28" s="42">
        <v>2012</v>
      </c>
      <c r="E28" s="42">
        <v>2018</v>
      </c>
      <c r="F28" s="42">
        <v>2018</v>
      </c>
      <c r="G28" s="42">
        <v>2022</v>
      </c>
      <c r="H28" s="42">
        <v>2024</v>
      </c>
      <c r="I28" s="42">
        <v>2025</v>
      </c>
      <c r="J28" s="42">
        <v>2026</v>
      </c>
    </row>
    <row r="29" spans="1:11" s="11" customFormat="1" x14ac:dyDescent="0.25">
      <c r="A29" s="39" t="s">
        <v>247</v>
      </c>
      <c r="B29" s="42" t="s">
        <v>18</v>
      </c>
      <c r="C29" s="42" t="s">
        <v>151</v>
      </c>
      <c r="D29" s="42" t="s">
        <v>159</v>
      </c>
      <c r="E29" s="42" t="s">
        <v>156</v>
      </c>
      <c r="F29" s="42" t="s">
        <v>154</v>
      </c>
      <c r="G29" s="42" t="s">
        <v>156</v>
      </c>
      <c r="H29" s="42" t="s">
        <v>156</v>
      </c>
      <c r="I29" s="185" t="s">
        <v>165</v>
      </c>
      <c r="J29" s="42" t="s">
        <v>156</v>
      </c>
    </row>
    <row r="30" spans="1:11" s="11" customFormat="1" x14ac:dyDescent="0.25">
      <c r="A30" s="39" t="s">
        <v>248</v>
      </c>
      <c r="B30" s="42" t="s">
        <v>18</v>
      </c>
      <c r="C30" s="42" t="s">
        <v>267</v>
      </c>
      <c r="D30" s="42" t="s">
        <v>159</v>
      </c>
      <c r="E30" s="42" t="s">
        <v>156</v>
      </c>
      <c r="F30" s="42" t="s">
        <v>308</v>
      </c>
      <c r="G30" s="42" t="s">
        <v>289</v>
      </c>
      <c r="H30" s="42" t="s">
        <v>156</v>
      </c>
      <c r="I30" s="185" t="s">
        <v>162</v>
      </c>
      <c r="J30" s="42" t="s">
        <v>156</v>
      </c>
    </row>
    <row r="31" spans="1:11" s="11" customFormat="1" x14ac:dyDescent="0.25">
      <c r="A31" s="19" t="s">
        <v>250</v>
      </c>
      <c r="B31" s="42"/>
      <c r="C31" s="42"/>
      <c r="D31" s="42"/>
      <c r="E31" s="42"/>
      <c r="F31" s="42"/>
      <c r="G31" s="42"/>
      <c r="H31" s="42"/>
      <c r="I31" s="42"/>
      <c r="J31" s="42"/>
    </row>
    <row r="32" spans="1:11" x14ac:dyDescent="0.25">
      <c r="A32" s="39" t="s">
        <v>251</v>
      </c>
      <c r="B32" s="42" t="s">
        <v>18</v>
      </c>
      <c r="C32" s="27">
        <v>21</v>
      </c>
      <c r="D32" s="27">
        <v>21</v>
      </c>
      <c r="E32" s="27">
        <v>18</v>
      </c>
      <c r="F32" s="27">
        <v>21</v>
      </c>
      <c r="G32" s="27">
        <v>12</v>
      </c>
      <c r="H32" s="27">
        <v>9</v>
      </c>
      <c r="I32" s="27">
        <v>6</v>
      </c>
      <c r="J32" s="27">
        <v>6</v>
      </c>
      <c r="K32" s="11"/>
    </row>
    <row r="33" spans="1:11" x14ac:dyDescent="0.25">
      <c r="A33" s="39" t="s">
        <v>252</v>
      </c>
      <c r="B33" s="42" t="s">
        <v>18</v>
      </c>
      <c r="C33" s="64">
        <v>21</v>
      </c>
      <c r="D33" s="64">
        <v>21</v>
      </c>
      <c r="E33" s="64">
        <v>15</v>
      </c>
      <c r="F33" s="64">
        <v>18</v>
      </c>
      <c r="G33" s="64">
        <v>12</v>
      </c>
      <c r="H33" s="64">
        <v>6</v>
      </c>
      <c r="I33" s="64">
        <v>6</v>
      </c>
      <c r="J33" s="64">
        <v>6</v>
      </c>
      <c r="K33" s="11"/>
    </row>
    <row r="34" spans="1:11" x14ac:dyDescent="0.25">
      <c r="A34" s="39" t="s">
        <v>253</v>
      </c>
      <c r="B34" s="42" t="s">
        <v>18</v>
      </c>
      <c r="C34" s="64">
        <v>18</v>
      </c>
      <c r="D34" s="64">
        <v>18</v>
      </c>
      <c r="E34" s="64">
        <v>12</v>
      </c>
      <c r="F34" s="64">
        <v>15</v>
      </c>
      <c r="G34" s="64">
        <v>9</v>
      </c>
      <c r="H34" s="64">
        <v>6</v>
      </c>
      <c r="I34" s="64">
        <v>6</v>
      </c>
      <c r="J34" s="64">
        <v>6</v>
      </c>
      <c r="K34" s="11"/>
    </row>
    <row r="35" spans="1:11" x14ac:dyDescent="0.25">
      <c r="A35" s="56" t="s">
        <v>560</v>
      </c>
      <c r="B35" s="55"/>
      <c r="C35" s="55"/>
      <c r="D35" s="55"/>
      <c r="E35" s="55"/>
      <c r="F35" s="55"/>
      <c r="G35" s="55"/>
      <c r="H35" s="55"/>
      <c r="I35" s="55"/>
      <c r="J35" s="55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357E-5DAF-456F-9D09-F16F292652D1}">
  <dimension ref="A1:E35"/>
  <sheetViews>
    <sheetView workbookViewId="0"/>
  </sheetViews>
  <sheetFormatPr defaultRowHeight="15" x14ac:dyDescent="0.25"/>
  <cols>
    <col min="1" max="1" width="85.7109375" bestFit="1" customWidth="1"/>
    <col min="2" max="2" width="22.5703125" bestFit="1" customWidth="1"/>
    <col min="3" max="3" width="8.42578125" bestFit="1" customWidth="1"/>
    <col min="4" max="4" width="15.5703125" bestFit="1" customWidth="1"/>
    <col min="5" max="5" width="11.140625" bestFit="1" customWidth="1"/>
  </cols>
  <sheetData>
    <row r="1" spans="1:5" x14ac:dyDescent="0.25">
      <c r="A1" s="59" t="s">
        <v>207</v>
      </c>
    </row>
    <row r="3" spans="1:5" s="75" customFormat="1" x14ac:dyDescent="0.25">
      <c r="A3" s="58" t="s">
        <v>207</v>
      </c>
      <c r="B3" s="58" t="s">
        <v>208</v>
      </c>
      <c r="C3" s="58" t="s">
        <v>561</v>
      </c>
      <c r="D3" s="58" t="s">
        <v>562</v>
      </c>
      <c r="E3" s="58" t="s">
        <v>563</v>
      </c>
    </row>
    <row r="4" spans="1:5" x14ac:dyDescent="0.25">
      <c r="A4" s="14" t="s">
        <v>213</v>
      </c>
      <c r="B4" s="42" t="s">
        <v>18</v>
      </c>
      <c r="C4" s="64" t="s">
        <v>6</v>
      </c>
      <c r="D4" s="64" t="s">
        <v>6</v>
      </c>
      <c r="E4" s="64" t="s">
        <v>6</v>
      </c>
    </row>
    <row r="5" spans="1:5" x14ac:dyDescent="0.25">
      <c r="A5" s="14" t="s">
        <v>220</v>
      </c>
      <c r="B5" s="42"/>
      <c r="C5" s="64"/>
      <c r="D5" s="64"/>
      <c r="E5" s="64"/>
    </row>
    <row r="6" spans="1:5" x14ac:dyDescent="0.25">
      <c r="A6" s="26" t="s">
        <v>543</v>
      </c>
      <c r="B6" s="27">
        <v>100</v>
      </c>
      <c r="C6" s="27">
        <v>100</v>
      </c>
      <c r="D6" s="27">
        <v>102</v>
      </c>
      <c r="E6" s="27">
        <v>101</v>
      </c>
    </row>
    <row r="7" spans="1:5" x14ac:dyDescent="0.25">
      <c r="A7" s="26" t="s">
        <v>544</v>
      </c>
      <c r="B7" s="27">
        <v>100</v>
      </c>
      <c r="C7" s="27">
        <v>99</v>
      </c>
      <c r="D7" s="27">
        <v>102</v>
      </c>
      <c r="E7" s="27">
        <v>102</v>
      </c>
    </row>
    <row r="8" spans="1:5" x14ac:dyDescent="0.25">
      <c r="A8" s="26" t="s">
        <v>545</v>
      </c>
      <c r="B8" s="27">
        <v>100</v>
      </c>
      <c r="C8" s="27">
        <v>96</v>
      </c>
      <c r="D8" s="27">
        <v>100</v>
      </c>
      <c r="E8" s="27">
        <v>102</v>
      </c>
    </row>
    <row r="9" spans="1:5" x14ac:dyDescent="0.25">
      <c r="A9" s="26" t="s">
        <v>546</v>
      </c>
      <c r="B9" s="27">
        <v>100</v>
      </c>
      <c r="C9" s="27">
        <v>98.45</v>
      </c>
      <c r="D9" s="27">
        <v>101.4</v>
      </c>
      <c r="E9" s="27">
        <v>101.65</v>
      </c>
    </row>
    <row r="10" spans="1:5" x14ac:dyDescent="0.25">
      <c r="A10" s="17" t="s">
        <v>547</v>
      </c>
      <c r="B10" s="27"/>
      <c r="C10" s="27"/>
      <c r="D10" s="27"/>
      <c r="E10" s="27"/>
    </row>
    <row r="11" spans="1:5" x14ac:dyDescent="0.25">
      <c r="A11" s="163" t="s">
        <v>548</v>
      </c>
      <c r="B11" s="91">
        <v>17.73</v>
      </c>
      <c r="C11" s="91">
        <v>18.13</v>
      </c>
      <c r="D11" s="91">
        <v>17.75</v>
      </c>
      <c r="E11" s="91">
        <v>17.98</v>
      </c>
    </row>
    <row r="12" spans="1:5" x14ac:dyDescent="0.25">
      <c r="A12" s="163" t="s">
        <v>549</v>
      </c>
      <c r="B12" s="91">
        <v>19.34</v>
      </c>
      <c r="C12" s="91">
        <v>19.850000000000001</v>
      </c>
      <c r="D12" s="91">
        <v>19.93</v>
      </c>
      <c r="E12" s="91">
        <v>19.98</v>
      </c>
    </row>
    <row r="13" spans="1:5" x14ac:dyDescent="0.25">
      <c r="A13" s="163" t="s">
        <v>550</v>
      </c>
      <c r="B13" s="91">
        <v>19.43</v>
      </c>
      <c r="C13" s="91">
        <v>19.64</v>
      </c>
      <c r="D13" s="91">
        <v>19.760000000000002</v>
      </c>
      <c r="E13" s="91">
        <v>20.03</v>
      </c>
    </row>
    <row r="14" spans="1:5" x14ac:dyDescent="0.25">
      <c r="A14" s="14" t="s">
        <v>239</v>
      </c>
      <c r="B14" s="64"/>
      <c r="C14" s="64"/>
      <c r="D14" s="64"/>
      <c r="E14" s="64"/>
    </row>
    <row r="15" spans="1:5" x14ac:dyDescent="0.25">
      <c r="A15" s="21" t="s">
        <v>385</v>
      </c>
      <c r="B15" s="27">
        <v>68.400000000000006</v>
      </c>
      <c r="C15" s="27">
        <v>71</v>
      </c>
      <c r="D15" s="27">
        <v>68.599999999999994</v>
      </c>
      <c r="E15" s="27">
        <v>69.900000000000006</v>
      </c>
    </row>
    <row r="16" spans="1:5" x14ac:dyDescent="0.25">
      <c r="A16" s="21" t="s">
        <v>386</v>
      </c>
      <c r="B16" s="27">
        <v>62.7</v>
      </c>
      <c r="C16" s="27">
        <v>63.8</v>
      </c>
      <c r="D16" s="27">
        <v>63.7</v>
      </c>
      <c r="E16" s="27">
        <v>62.3</v>
      </c>
    </row>
    <row r="17" spans="1:5" x14ac:dyDescent="0.25">
      <c r="A17" s="21" t="s">
        <v>435</v>
      </c>
      <c r="B17" s="27">
        <v>48</v>
      </c>
      <c r="C17" s="27">
        <v>45.8</v>
      </c>
      <c r="D17" s="27">
        <v>47.5</v>
      </c>
      <c r="E17" s="27">
        <v>47.9</v>
      </c>
    </row>
    <row r="18" spans="1:5" x14ac:dyDescent="0.25">
      <c r="A18" s="14" t="s">
        <v>551</v>
      </c>
      <c r="B18" s="42"/>
      <c r="C18" s="64"/>
      <c r="D18" s="64"/>
      <c r="E18" s="64"/>
    </row>
    <row r="19" spans="1:5" x14ac:dyDescent="0.25">
      <c r="A19" s="149" t="s">
        <v>552</v>
      </c>
      <c r="B19" s="64">
        <v>100</v>
      </c>
      <c r="C19" s="27">
        <v>99</v>
      </c>
      <c r="D19" s="27">
        <v>104</v>
      </c>
      <c r="E19" s="27">
        <v>101</v>
      </c>
    </row>
    <row r="20" spans="1:5" x14ac:dyDescent="0.25">
      <c r="A20" s="163" t="s">
        <v>553</v>
      </c>
      <c r="B20" s="27">
        <v>100</v>
      </c>
      <c r="C20" s="27">
        <v>101.17968355745539</v>
      </c>
      <c r="D20" s="27">
        <v>103.90655148870482</v>
      </c>
      <c r="E20" s="27">
        <v>102.69100840086681</v>
      </c>
    </row>
    <row r="21" spans="1:5" x14ac:dyDescent="0.25">
      <c r="A21" s="14" t="s">
        <v>554</v>
      </c>
      <c r="B21" s="165"/>
      <c r="C21" s="27"/>
      <c r="D21" s="27"/>
      <c r="E21" s="27"/>
    </row>
    <row r="22" spans="1:5" x14ac:dyDescent="0.25">
      <c r="A22" s="149" t="s">
        <v>555</v>
      </c>
      <c r="B22" s="27">
        <v>100</v>
      </c>
      <c r="C22" s="27">
        <v>100</v>
      </c>
      <c r="D22" s="27">
        <v>101</v>
      </c>
      <c r="E22" s="27">
        <v>100</v>
      </c>
    </row>
    <row r="23" spans="1:5" x14ac:dyDescent="0.25">
      <c r="A23" s="163" t="s">
        <v>556</v>
      </c>
      <c r="B23" s="27">
        <v>100</v>
      </c>
      <c r="C23" s="27">
        <v>102.35112472022423</v>
      </c>
      <c r="D23" s="27">
        <v>104.19886908654109</v>
      </c>
      <c r="E23" s="27">
        <v>103.30920372285422</v>
      </c>
    </row>
    <row r="24" spans="1:5" x14ac:dyDescent="0.25">
      <c r="A24" s="14" t="s">
        <v>557</v>
      </c>
      <c r="B24" s="27"/>
      <c r="C24" s="27"/>
      <c r="D24" s="27"/>
      <c r="E24" s="27"/>
    </row>
    <row r="25" spans="1:5" x14ac:dyDescent="0.25">
      <c r="A25" s="149" t="s">
        <v>558</v>
      </c>
      <c r="B25" s="27">
        <v>100</v>
      </c>
      <c r="C25" s="27">
        <v>100</v>
      </c>
      <c r="D25" s="27">
        <v>100</v>
      </c>
      <c r="E25" s="27">
        <v>101</v>
      </c>
    </row>
    <row r="26" spans="1:5" x14ac:dyDescent="0.25">
      <c r="A26" s="163" t="s">
        <v>559</v>
      </c>
      <c r="B26" s="27">
        <v>100</v>
      </c>
      <c r="C26" s="27">
        <v>101.08080288214103</v>
      </c>
      <c r="D26" s="27">
        <v>101.69840452907877</v>
      </c>
      <c r="E26" s="27">
        <v>103.83502278711391</v>
      </c>
    </row>
    <row r="27" spans="1:5" x14ac:dyDescent="0.25">
      <c r="A27" s="38" t="s">
        <v>245</v>
      </c>
      <c r="B27" s="27"/>
      <c r="C27" s="27"/>
      <c r="D27" s="27"/>
      <c r="E27" s="27"/>
    </row>
    <row r="28" spans="1:5" x14ac:dyDescent="0.25">
      <c r="A28" s="96" t="s">
        <v>246</v>
      </c>
      <c r="B28" s="42" t="s">
        <v>18</v>
      </c>
      <c r="C28" s="64">
        <v>2005</v>
      </c>
      <c r="D28" s="42">
        <v>2011</v>
      </c>
      <c r="E28" s="42">
        <v>2014</v>
      </c>
    </row>
    <row r="29" spans="1:5" x14ac:dyDescent="0.25">
      <c r="A29" s="39" t="s">
        <v>247</v>
      </c>
      <c r="B29" s="42" t="s">
        <v>18</v>
      </c>
      <c r="C29" s="64" t="s">
        <v>156</v>
      </c>
      <c r="D29" s="42" t="s">
        <v>159</v>
      </c>
      <c r="E29" s="42" t="s">
        <v>159</v>
      </c>
    </row>
    <row r="30" spans="1:5" x14ac:dyDescent="0.25">
      <c r="A30" s="39" t="s">
        <v>248</v>
      </c>
      <c r="B30" s="42" t="s">
        <v>18</v>
      </c>
      <c r="C30" s="64" t="s">
        <v>156</v>
      </c>
      <c r="D30" s="42" t="s">
        <v>159</v>
      </c>
      <c r="E30" s="42" t="s">
        <v>156</v>
      </c>
    </row>
    <row r="31" spans="1:5" x14ac:dyDescent="0.25">
      <c r="A31" s="19" t="s">
        <v>250</v>
      </c>
      <c r="B31" s="42"/>
      <c r="C31" s="27"/>
      <c r="D31" s="27"/>
      <c r="E31" s="27"/>
    </row>
    <row r="32" spans="1:5" x14ac:dyDescent="0.25">
      <c r="A32" s="39" t="s">
        <v>251</v>
      </c>
      <c r="B32" s="42" t="s">
        <v>18</v>
      </c>
      <c r="C32" s="27">
        <v>21</v>
      </c>
      <c r="D32" s="27">
        <v>21</v>
      </c>
      <c r="E32" s="27">
        <v>21</v>
      </c>
    </row>
    <row r="33" spans="1:5" x14ac:dyDescent="0.25">
      <c r="A33" s="39" t="s">
        <v>252</v>
      </c>
      <c r="B33" s="42" t="s">
        <v>18</v>
      </c>
      <c r="C33" s="64">
        <v>21</v>
      </c>
      <c r="D33" s="64">
        <v>21</v>
      </c>
      <c r="E33" s="64">
        <v>21</v>
      </c>
    </row>
    <row r="34" spans="1:5" x14ac:dyDescent="0.25">
      <c r="A34" s="39" t="s">
        <v>253</v>
      </c>
      <c r="B34" s="42" t="s">
        <v>18</v>
      </c>
      <c r="C34" s="64">
        <v>18</v>
      </c>
      <c r="D34" s="64">
        <v>18</v>
      </c>
      <c r="E34" s="64">
        <v>18</v>
      </c>
    </row>
    <row r="35" spans="1:5" x14ac:dyDescent="0.25">
      <c r="A35" s="56" t="s">
        <v>560</v>
      </c>
      <c r="B35" s="55"/>
      <c r="C35" s="55"/>
      <c r="D35" s="55"/>
      <c r="E35" s="55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0A38-D4C4-401B-A6C1-E455EBD7E03F}">
  <dimension ref="A1:AO21"/>
  <sheetViews>
    <sheetView workbookViewId="0"/>
  </sheetViews>
  <sheetFormatPr defaultColWidth="8.7109375" defaultRowHeight="15" x14ac:dyDescent="0.25"/>
  <cols>
    <col min="1" max="1" width="37.7109375" bestFit="1" customWidth="1"/>
    <col min="2" max="2" width="23.28515625" bestFit="1" customWidth="1"/>
    <col min="3" max="3" width="8.85546875" bestFit="1" customWidth="1"/>
    <col min="4" max="4" width="12.5703125" bestFit="1" customWidth="1"/>
    <col min="5" max="5" width="10.140625" bestFit="1" customWidth="1"/>
    <col min="6" max="6" width="9.42578125" bestFit="1" customWidth="1"/>
    <col min="7" max="7" width="9.7109375" bestFit="1" customWidth="1"/>
    <col min="11" max="12" width="10.28515625" bestFit="1" customWidth="1"/>
  </cols>
  <sheetData>
    <row r="1" spans="1:41" s="86" customFormat="1" x14ac:dyDescent="0.25">
      <c r="A1" s="59" t="s">
        <v>564</v>
      </c>
      <c r="B1" s="59"/>
      <c r="C1" s="161"/>
      <c r="D1" s="161"/>
      <c r="E1" s="161"/>
      <c r="F1" s="161"/>
      <c r="G1" s="161"/>
    </row>
    <row r="2" spans="1:41" x14ac:dyDescent="0.25">
      <c r="A2" s="166"/>
      <c r="B2" s="166"/>
      <c r="C2" s="105"/>
      <c r="D2" s="105"/>
      <c r="E2" s="105"/>
      <c r="F2" s="105"/>
      <c r="G2" s="105"/>
    </row>
    <row r="3" spans="1:41" s="75" customFormat="1" x14ac:dyDescent="0.25">
      <c r="A3" s="170" t="s">
        <v>564</v>
      </c>
      <c r="B3" s="170" t="s">
        <v>565</v>
      </c>
      <c r="C3" s="170" t="s">
        <v>566</v>
      </c>
      <c r="D3" s="170" t="s">
        <v>567</v>
      </c>
      <c r="E3" s="170" t="s">
        <v>568</v>
      </c>
      <c r="F3" s="170" t="s">
        <v>569</v>
      </c>
      <c r="G3" s="170" t="s">
        <v>570</v>
      </c>
      <c r="J3" s="160"/>
      <c r="K3" s="160"/>
      <c r="L3" s="160"/>
    </row>
    <row r="4" spans="1:41" x14ac:dyDescent="0.25">
      <c r="A4" s="96" t="s">
        <v>571</v>
      </c>
      <c r="B4" s="167"/>
      <c r="C4" s="16" t="s">
        <v>168</v>
      </c>
      <c r="D4" s="16" t="s">
        <v>168</v>
      </c>
      <c r="E4" s="16" t="s">
        <v>168</v>
      </c>
      <c r="F4" s="16" t="s">
        <v>168</v>
      </c>
      <c r="G4" s="16" t="s">
        <v>572</v>
      </c>
      <c r="J4" s="88"/>
      <c r="K4" s="88"/>
      <c r="L4" s="88"/>
    </row>
    <row r="5" spans="1:41" s="11" customFormat="1" x14ac:dyDescent="0.25">
      <c r="A5" s="14" t="s">
        <v>220</v>
      </c>
      <c r="B5" s="27"/>
      <c r="C5" s="64"/>
      <c r="D5" s="64"/>
      <c r="E5" s="64"/>
      <c r="F5" s="64"/>
      <c r="G5" s="64"/>
      <c r="I5" s="123"/>
      <c r="J5" s="88"/>
      <c r="K5" s="88"/>
      <c r="L5" s="88"/>
      <c r="M5"/>
    </row>
    <row r="6" spans="1:41" s="11" customFormat="1" x14ac:dyDescent="0.25">
      <c r="A6" s="26" t="s">
        <v>573</v>
      </c>
      <c r="B6" s="27">
        <v>100</v>
      </c>
      <c r="C6" s="27">
        <v>103</v>
      </c>
      <c r="D6" s="27">
        <v>97</v>
      </c>
      <c r="E6" s="27">
        <v>85</v>
      </c>
      <c r="F6" s="27">
        <v>98</v>
      </c>
      <c r="G6" s="27">
        <v>86</v>
      </c>
      <c r="I6" s="123"/>
      <c r="J6" s="168"/>
      <c r="K6" s="88"/>
      <c r="L6" s="88"/>
      <c r="M6"/>
    </row>
    <row r="7" spans="1:41" s="11" customFormat="1" x14ac:dyDescent="0.25">
      <c r="A7" s="26" t="s">
        <v>574</v>
      </c>
      <c r="B7" s="27">
        <v>100</v>
      </c>
      <c r="C7" s="27">
        <v>103</v>
      </c>
      <c r="D7" s="27">
        <v>97</v>
      </c>
      <c r="E7" s="27">
        <v>98</v>
      </c>
      <c r="F7" s="27">
        <v>103</v>
      </c>
      <c r="G7" s="27">
        <v>94</v>
      </c>
      <c r="J7" s="88"/>
      <c r="K7" s="88"/>
      <c r="L7" s="88"/>
      <c r="M7"/>
    </row>
    <row r="8" spans="1:41" s="31" customFormat="1" x14ac:dyDescent="0.25">
      <c r="A8" s="26" t="s">
        <v>575</v>
      </c>
      <c r="B8" s="27">
        <v>100</v>
      </c>
      <c r="C8" s="27">
        <v>103</v>
      </c>
      <c r="D8" s="27">
        <v>97</v>
      </c>
      <c r="E8" s="27">
        <v>91.5</v>
      </c>
      <c r="F8" s="27">
        <v>100.5</v>
      </c>
      <c r="G8" s="27">
        <v>90</v>
      </c>
      <c r="H8" s="11"/>
      <c r="I8" s="11"/>
      <c r="J8" s="88"/>
      <c r="K8" s="88"/>
      <c r="L8" s="88"/>
      <c r="M8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s="31" customFormat="1" x14ac:dyDescent="0.25">
      <c r="A9" s="14" t="s">
        <v>576</v>
      </c>
      <c r="B9" s="64"/>
      <c r="C9" s="64"/>
      <c r="D9" s="64"/>
      <c r="E9" s="64"/>
      <c r="F9" s="64"/>
      <c r="G9" s="64"/>
      <c r="H9" s="11"/>
      <c r="I9" s="11"/>
      <c r="J9" s="88"/>
      <c r="K9" s="88"/>
      <c r="L9" s="88"/>
      <c r="M9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s="31" customFormat="1" x14ac:dyDescent="0.25">
      <c r="A10" s="96" t="s">
        <v>577</v>
      </c>
      <c r="B10" s="64">
        <v>100</v>
      </c>
      <c r="C10" s="27">
        <v>103</v>
      </c>
      <c r="D10" s="27">
        <v>97</v>
      </c>
      <c r="E10" s="27">
        <v>86</v>
      </c>
      <c r="F10" s="27">
        <v>108</v>
      </c>
      <c r="G10" s="27">
        <v>95</v>
      </c>
      <c r="H10" s="11"/>
      <c r="I10" s="11"/>
      <c r="J10" s="88"/>
      <c r="K10" s="88"/>
      <c r="L10" s="88"/>
      <c r="M10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s="31" customFormat="1" x14ac:dyDescent="0.25">
      <c r="A11" s="94" t="s">
        <v>578</v>
      </c>
      <c r="B11" s="91">
        <v>14.64</v>
      </c>
      <c r="C11" s="91">
        <v>14.47</v>
      </c>
      <c r="D11" s="91">
        <v>14.81</v>
      </c>
      <c r="E11" s="91">
        <v>14.09</v>
      </c>
      <c r="F11" s="91">
        <v>14.08</v>
      </c>
      <c r="G11" s="91">
        <v>13.75</v>
      </c>
      <c r="H11" s="11"/>
      <c r="I11" s="11"/>
      <c r="J11" s="88"/>
      <c r="K11" s="88"/>
      <c r="L11" s="88"/>
      <c r="M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s="31" customFormat="1" x14ac:dyDescent="0.25">
      <c r="A12" s="14" t="s">
        <v>239</v>
      </c>
      <c r="B12" s="64"/>
      <c r="C12" s="64"/>
      <c r="D12" s="64"/>
      <c r="E12" s="64"/>
      <c r="F12" s="64"/>
      <c r="G12" s="64"/>
      <c r="H12" s="11"/>
      <c r="I12" s="11"/>
      <c r="J12" s="88"/>
      <c r="K12" s="88"/>
      <c r="L12" s="88"/>
      <c r="M1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s="31" customFormat="1" x14ac:dyDescent="0.25">
      <c r="A13" s="96" t="s">
        <v>385</v>
      </c>
      <c r="B13" s="27">
        <v>43.7</v>
      </c>
      <c r="C13" s="27">
        <v>43.7</v>
      </c>
      <c r="D13" s="27">
        <v>43.7</v>
      </c>
      <c r="E13" s="27">
        <v>45.3</v>
      </c>
      <c r="F13" s="27">
        <v>38.4</v>
      </c>
      <c r="G13" s="27">
        <v>41.5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s="11" customFormat="1" x14ac:dyDescent="0.25">
      <c r="A14" s="21" t="s">
        <v>386</v>
      </c>
      <c r="B14" s="22">
        <v>45</v>
      </c>
      <c r="C14" s="27">
        <v>47</v>
      </c>
      <c r="D14" s="27">
        <v>44</v>
      </c>
      <c r="E14" s="27">
        <v>48</v>
      </c>
      <c r="F14" s="27">
        <v>44</v>
      </c>
      <c r="G14" s="27">
        <v>42</v>
      </c>
    </row>
    <row r="15" spans="1:41" s="11" customFormat="1" x14ac:dyDescent="0.25">
      <c r="A15" s="38" t="s">
        <v>245</v>
      </c>
      <c r="B15" s="22"/>
      <c r="C15" s="27"/>
      <c r="D15" s="27"/>
      <c r="E15" s="27"/>
      <c r="F15" s="27"/>
      <c r="G15" s="27"/>
    </row>
    <row r="16" spans="1:41" s="11" customFormat="1" x14ac:dyDescent="0.25">
      <c r="A16" s="96" t="s">
        <v>246</v>
      </c>
      <c r="B16" s="42" t="s">
        <v>18</v>
      </c>
      <c r="C16" s="64">
        <v>2024</v>
      </c>
      <c r="D16" s="64">
        <v>2024</v>
      </c>
      <c r="E16" s="42">
        <v>2026</v>
      </c>
      <c r="F16" s="42">
        <v>2026</v>
      </c>
      <c r="G16" s="42">
        <v>2026</v>
      </c>
    </row>
    <row r="17" spans="1:7" s="11" customFormat="1" x14ac:dyDescent="0.25">
      <c r="A17" s="39" t="s">
        <v>247</v>
      </c>
      <c r="B17" s="42" t="s">
        <v>18</v>
      </c>
      <c r="C17" s="122" t="s">
        <v>156</v>
      </c>
      <c r="D17" s="122" t="s">
        <v>156</v>
      </c>
      <c r="E17" s="122" t="s">
        <v>249</v>
      </c>
      <c r="F17" s="122" t="s">
        <v>579</v>
      </c>
      <c r="G17" s="122" t="s">
        <v>156</v>
      </c>
    </row>
    <row r="18" spans="1:7" s="11" customFormat="1" x14ac:dyDescent="0.25">
      <c r="A18" s="39" t="s">
        <v>248</v>
      </c>
      <c r="B18" s="42" t="s">
        <v>18</v>
      </c>
      <c r="C18" s="122" t="s">
        <v>156</v>
      </c>
      <c r="D18" s="122" t="s">
        <v>156</v>
      </c>
      <c r="E18" s="122" t="s">
        <v>249</v>
      </c>
      <c r="F18" s="122" t="s">
        <v>267</v>
      </c>
      <c r="G18" s="122" t="s">
        <v>289</v>
      </c>
    </row>
    <row r="19" spans="1:7" s="11" customFormat="1" x14ac:dyDescent="0.25">
      <c r="A19" s="19" t="s">
        <v>250</v>
      </c>
      <c r="B19" s="42" t="s">
        <v>18</v>
      </c>
      <c r="C19" s="27"/>
      <c r="D19" s="27"/>
      <c r="E19" s="27"/>
      <c r="F19" s="27"/>
      <c r="G19" s="27"/>
    </row>
    <row r="20" spans="1:7" s="11" customFormat="1" x14ac:dyDescent="0.25">
      <c r="A20" s="39" t="s">
        <v>251</v>
      </c>
      <c r="B20" s="42" t="s">
        <v>18</v>
      </c>
      <c r="C20" s="27">
        <v>4</v>
      </c>
      <c r="D20" s="27">
        <v>4</v>
      </c>
      <c r="E20" s="27">
        <v>2</v>
      </c>
      <c r="F20" s="27">
        <v>2</v>
      </c>
      <c r="G20" s="27">
        <v>2</v>
      </c>
    </row>
    <row r="21" spans="1:7" s="11" customFormat="1" x14ac:dyDescent="0.25">
      <c r="A21" s="169" t="s">
        <v>252</v>
      </c>
      <c r="B21" s="42" t="s">
        <v>18</v>
      </c>
      <c r="C21" s="64">
        <v>2</v>
      </c>
      <c r="D21" s="64">
        <v>2</v>
      </c>
      <c r="E21" s="64">
        <v>2</v>
      </c>
      <c r="F21" s="64">
        <v>2</v>
      </c>
      <c r="G21" s="64">
        <v>2</v>
      </c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74AD6-2E13-4ED8-92F7-5803469BE037}">
  <dimension ref="A1:AG37"/>
  <sheetViews>
    <sheetView workbookViewId="0"/>
  </sheetViews>
  <sheetFormatPr defaultColWidth="8.7109375" defaultRowHeight="15" x14ac:dyDescent="0.25"/>
  <cols>
    <col min="1" max="1" width="46.5703125" bestFit="1" customWidth="1"/>
    <col min="2" max="2" width="24" bestFit="1" customWidth="1"/>
    <col min="3" max="3" width="11" bestFit="1" customWidth="1"/>
    <col min="4" max="4" width="11.5703125" bestFit="1" customWidth="1"/>
    <col min="5" max="5" width="15.42578125" bestFit="1" customWidth="1"/>
    <col min="6" max="33" width="9.28515625" customWidth="1"/>
  </cols>
  <sheetData>
    <row r="1" spans="1:33" s="86" customFormat="1" x14ac:dyDescent="0.25">
      <c r="A1" s="63" t="s">
        <v>580</v>
      </c>
      <c r="B1" s="85"/>
      <c r="C1" s="85"/>
      <c r="D1" s="85"/>
    </row>
    <row r="2" spans="1:33" x14ac:dyDescent="0.25">
      <c r="A2" s="104"/>
      <c r="B2" s="105"/>
      <c r="C2" s="105"/>
      <c r="D2" s="105"/>
      <c r="E2" s="105"/>
    </row>
    <row r="3" spans="1:33" s="75" customFormat="1" x14ac:dyDescent="0.25">
      <c r="A3" s="178" t="s">
        <v>580</v>
      </c>
      <c r="B3" s="179" t="s">
        <v>565</v>
      </c>
      <c r="C3" s="179" t="s">
        <v>581</v>
      </c>
      <c r="D3" s="179" t="s">
        <v>582</v>
      </c>
      <c r="E3" s="179" t="s">
        <v>583</v>
      </c>
    </row>
    <row r="4" spans="1:33" s="11" customFormat="1" ht="15" customHeight="1" x14ac:dyDescent="0.25">
      <c r="A4" s="19" t="s">
        <v>584</v>
      </c>
      <c r="B4" s="20"/>
      <c r="C4" s="20"/>
      <c r="D4" s="20"/>
      <c r="E4" s="20"/>
      <c r="F4"/>
      <c r="G4"/>
      <c r="H4"/>
      <c r="I4"/>
      <c r="J4" s="129"/>
    </row>
    <row r="5" spans="1:33" s="172" customFormat="1" x14ac:dyDescent="0.25">
      <c r="A5" s="21" t="s">
        <v>585</v>
      </c>
      <c r="B5" s="27">
        <v>100</v>
      </c>
      <c r="C5" s="27">
        <v>96</v>
      </c>
      <c r="D5" s="27">
        <v>98</v>
      </c>
      <c r="E5" s="27">
        <v>105</v>
      </c>
      <c r="F5"/>
      <c r="G5"/>
      <c r="H5"/>
      <c r="I5"/>
      <c r="J5" s="171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x14ac:dyDescent="0.25">
      <c r="A6" s="94" t="s">
        <v>586</v>
      </c>
      <c r="B6" s="91">
        <v>66.599999999999994</v>
      </c>
      <c r="C6" s="91">
        <v>66.099999999999994</v>
      </c>
      <c r="D6" s="91">
        <v>66.400000000000006</v>
      </c>
      <c r="E6" s="91">
        <v>67.3</v>
      </c>
    </row>
    <row r="7" spans="1:33" s="173" customFormat="1" x14ac:dyDescent="0.25">
      <c r="A7" s="21" t="s">
        <v>219</v>
      </c>
      <c r="B7" s="27">
        <v>73.099999999999994</v>
      </c>
      <c r="C7" s="27">
        <v>73</v>
      </c>
      <c r="D7" s="27">
        <v>75</v>
      </c>
      <c r="E7" s="27">
        <v>71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s="11" customFormat="1" ht="15" customHeight="1" x14ac:dyDescent="0.25">
      <c r="A8" s="19" t="s">
        <v>220</v>
      </c>
      <c r="B8" s="20"/>
      <c r="C8" s="20"/>
      <c r="D8" s="20"/>
      <c r="E8" s="20"/>
      <c r="F8"/>
      <c r="G8"/>
      <c r="H8"/>
      <c r="I8"/>
      <c r="J8" s="129"/>
    </row>
    <row r="9" spans="1:33" s="173" customFormat="1" x14ac:dyDescent="0.25">
      <c r="A9" s="21" t="s">
        <v>587</v>
      </c>
      <c r="B9" s="27">
        <v>100</v>
      </c>
      <c r="C9" s="27">
        <v>94</v>
      </c>
      <c r="D9" s="27">
        <v>99</v>
      </c>
      <c r="E9" s="27">
        <v>107</v>
      </c>
      <c r="F9"/>
      <c r="G9"/>
      <c r="H9"/>
      <c r="I9"/>
      <c r="J9" s="174"/>
      <c r="K9" s="174"/>
      <c r="L9" s="174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 s="172" customFormat="1" x14ac:dyDescent="0.25">
      <c r="A10" s="21" t="s">
        <v>588</v>
      </c>
      <c r="B10" s="27">
        <v>71.55</v>
      </c>
      <c r="C10" s="27">
        <v>70</v>
      </c>
      <c r="D10" s="27">
        <v>73</v>
      </c>
      <c r="E10" s="27">
        <v>71</v>
      </c>
      <c r="F10"/>
      <c r="G10"/>
      <c r="H10"/>
      <c r="I10"/>
      <c r="J10" s="174"/>
      <c r="K10" s="174"/>
      <c r="L10" s="174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 s="172" customFormat="1" x14ac:dyDescent="0.25">
      <c r="A11" s="19" t="s">
        <v>589</v>
      </c>
      <c r="B11" s="20"/>
      <c r="C11" s="20"/>
      <c r="D11" s="20"/>
      <c r="E11" s="20"/>
      <c r="F11"/>
      <c r="G11"/>
      <c r="H11"/>
      <c r="I11"/>
      <c r="J11" s="174"/>
      <c r="K11" s="174"/>
      <c r="L11" s="174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 s="172" customFormat="1" x14ac:dyDescent="0.25">
      <c r="A12" s="21" t="s">
        <v>590</v>
      </c>
      <c r="B12" s="27">
        <v>100</v>
      </c>
      <c r="C12" s="27">
        <v>100</v>
      </c>
      <c r="D12" s="27">
        <v>93</v>
      </c>
      <c r="E12" s="27">
        <v>106</v>
      </c>
      <c r="F12"/>
      <c r="G12"/>
      <c r="H12"/>
      <c r="I12"/>
      <c r="J12" s="174"/>
      <c r="K12" s="174"/>
      <c r="L12" s="174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 s="172" customFormat="1" x14ac:dyDescent="0.25">
      <c r="A13" s="21" t="s">
        <v>591</v>
      </c>
      <c r="B13" s="27">
        <v>100</v>
      </c>
      <c r="C13" s="27">
        <v>102</v>
      </c>
      <c r="D13" s="27">
        <v>96</v>
      </c>
      <c r="E13" s="27">
        <v>102</v>
      </c>
      <c r="F13"/>
      <c r="G13"/>
      <c r="H13"/>
      <c r="I13"/>
      <c r="J13" s="174"/>
      <c r="K13" s="174"/>
      <c r="L13" s="174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 s="172" customFormat="1" x14ac:dyDescent="0.25">
      <c r="A14" s="21" t="s">
        <v>592</v>
      </c>
      <c r="B14" s="27">
        <v>100</v>
      </c>
      <c r="C14" s="27">
        <v>93</v>
      </c>
      <c r="D14" s="27">
        <v>100</v>
      </c>
      <c r="E14" s="27">
        <v>107</v>
      </c>
      <c r="F14"/>
      <c r="G14"/>
      <c r="H14"/>
      <c r="I14"/>
      <c r="J14" s="174"/>
      <c r="K14" s="174"/>
      <c r="L14" s="17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 s="172" customFormat="1" x14ac:dyDescent="0.25">
      <c r="A15" s="21" t="s">
        <v>593</v>
      </c>
      <c r="B15" s="27">
        <v>100</v>
      </c>
      <c r="C15" s="27">
        <v>96</v>
      </c>
      <c r="D15" s="27">
        <v>99</v>
      </c>
      <c r="E15" s="27">
        <v>106</v>
      </c>
      <c r="F15"/>
      <c r="G15"/>
      <c r="H15"/>
      <c r="I15"/>
      <c r="J15" s="174"/>
      <c r="K15" s="174"/>
      <c r="L15" s="174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 s="172" customFormat="1" x14ac:dyDescent="0.25">
      <c r="A16" s="21" t="s">
        <v>594</v>
      </c>
      <c r="B16" s="27">
        <v>100</v>
      </c>
      <c r="C16" s="27">
        <v>91</v>
      </c>
      <c r="D16" s="27">
        <v>99</v>
      </c>
      <c r="E16" s="27">
        <v>110</v>
      </c>
      <c r="F16"/>
      <c r="G16"/>
      <c r="H16"/>
      <c r="I16"/>
      <c r="J16" s="174"/>
      <c r="K16" s="174"/>
      <c r="L16" s="174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 s="172" customFormat="1" x14ac:dyDescent="0.25">
      <c r="A17" s="19" t="s">
        <v>232</v>
      </c>
      <c r="B17" s="20"/>
      <c r="C17" s="20"/>
      <c r="D17" s="20"/>
      <c r="E17" s="20"/>
      <c r="F17"/>
      <c r="G17"/>
      <c r="H17"/>
      <c r="I17"/>
      <c r="J17" s="174"/>
      <c r="K17" s="174"/>
      <c r="L17" s="174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 s="172" customFormat="1" x14ac:dyDescent="0.25">
      <c r="A18" s="21" t="s">
        <v>595</v>
      </c>
      <c r="B18" s="27">
        <v>100</v>
      </c>
      <c r="C18" s="27">
        <v>97</v>
      </c>
      <c r="D18" s="27">
        <v>100</v>
      </c>
      <c r="E18" s="27">
        <v>103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 x14ac:dyDescent="0.25">
      <c r="A19" s="94" t="s">
        <v>596</v>
      </c>
      <c r="B19" s="91">
        <v>70.400000000000006</v>
      </c>
      <c r="C19" s="91">
        <v>70.599999999999994</v>
      </c>
      <c r="D19" s="91">
        <v>70.099999999999994</v>
      </c>
      <c r="E19" s="91">
        <v>70.599999999999994</v>
      </c>
      <c r="G19" s="175"/>
      <c r="H19" s="175"/>
      <c r="I19" s="175"/>
      <c r="J19" s="175"/>
    </row>
    <row r="20" spans="1:33" s="173" customFormat="1" x14ac:dyDescent="0.25">
      <c r="A20" s="21" t="s">
        <v>597</v>
      </c>
      <c r="B20" s="27">
        <v>100</v>
      </c>
      <c r="C20" s="27">
        <v>91</v>
      </c>
      <c r="D20" s="27">
        <v>97</v>
      </c>
      <c r="E20" s="27">
        <v>111</v>
      </c>
      <c r="F20"/>
      <c r="G20" s="175"/>
      <c r="H20" s="175"/>
      <c r="I20" s="175"/>
      <c r="J20" s="175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 s="173" customFormat="1" x14ac:dyDescent="0.25">
      <c r="A21" s="21" t="s">
        <v>383</v>
      </c>
      <c r="B21" s="91">
        <v>69.900000000000006</v>
      </c>
      <c r="C21" s="91">
        <v>69.900000000000006</v>
      </c>
      <c r="D21" s="91">
        <v>70.2</v>
      </c>
      <c r="E21" s="91">
        <v>69.8</v>
      </c>
      <c r="F21"/>
      <c r="G21" s="175"/>
      <c r="H21" s="175"/>
      <c r="I21" s="175"/>
      <c r="J21" s="175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 s="173" customFormat="1" x14ac:dyDescent="0.25">
      <c r="A22" s="21" t="s">
        <v>598</v>
      </c>
      <c r="B22" s="27">
        <v>100</v>
      </c>
      <c r="C22" s="27">
        <v>93</v>
      </c>
      <c r="D22" s="27">
        <v>102</v>
      </c>
      <c r="E22" s="27">
        <v>105</v>
      </c>
      <c r="F22"/>
      <c r="G22"/>
      <c r="H22"/>
      <c r="I22"/>
      <c r="J22" s="174"/>
      <c r="K22" s="174"/>
      <c r="L22" s="174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 s="173" customFormat="1" x14ac:dyDescent="0.25">
      <c r="A23" s="21" t="s">
        <v>599</v>
      </c>
      <c r="B23" s="27">
        <v>100</v>
      </c>
      <c r="C23" s="27">
        <v>91</v>
      </c>
      <c r="D23" s="27">
        <v>97</v>
      </c>
      <c r="E23" s="27">
        <v>112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</row>
    <row r="24" spans="1:33" s="173" customFormat="1" x14ac:dyDescent="0.25">
      <c r="A24" s="38" t="s">
        <v>239</v>
      </c>
      <c r="B24" s="91"/>
      <c r="C24" s="91"/>
      <c r="D24" s="91"/>
      <c r="E24" s="91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78" customFormat="1" x14ac:dyDescent="0.25">
      <c r="A25" s="94" t="s">
        <v>240</v>
      </c>
      <c r="B25" s="64">
        <v>5.7</v>
      </c>
      <c r="C25" s="91">
        <v>5.9</v>
      </c>
      <c r="D25" s="91">
        <v>5.4</v>
      </c>
      <c r="E25" s="40" t="s">
        <v>600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3" x14ac:dyDescent="0.25">
      <c r="A26" s="38" t="s">
        <v>241</v>
      </c>
      <c r="B26" s="64"/>
      <c r="C26" s="91"/>
      <c r="D26" s="91"/>
      <c r="E26" s="91"/>
    </row>
    <row r="27" spans="1:33" s="173" customFormat="1" x14ac:dyDescent="0.25">
      <c r="A27" s="94" t="s">
        <v>601</v>
      </c>
      <c r="B27" s="27">
        <v>7</v>
      </c>
      <c r="C27" s="27">
        <v>7</v>
      </c>
      <c r="D27" s="27">
        <v>7</v>
      </c>
      <c r="E27" s="79" t="s">
        <v>600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173" customFormat="1" x14ac:dyDescent="0.25">
      <c r="A28" s="96" t="s">
        <v>602</v>
      </c>
      <c r="B28" s="27">
        <v>4.4777094449437298</v>
      </c>
      <c r="C28" s="27">
        <v>6</v>
      </c>
      <c r="D28" s="27">
        <v>5</v>
      </c>
      <c r="E28" s="79" t="s">
        <v>603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173" customFormat="1" x14ac:dyDescent="0.25">
      <c r="A29" s="96" t="s">
        <v>604</v>
      </c>
      <c r="B29" s="27">
        <v>4.5</v>
      </c>
      <c r="C29" s="64">
        <v>3</v>
      </c>
      <c r="D29" s="64">
        <v>6</v>
      </c>
      <c r="E29" s="42" t="s">
        <v>18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173" customFormat="1" x14ac:dyDescent="0.25">
      <c r="A30" s="38" t="s">
        <v>245</v>
      </c>
      <c r="B30" s="27"/>
      <c r="C30" s="64"/>
      <c r="D30" s="64"/>
      <c r="E30" s="42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173" customFormat="1" x14ac:dyDescent="0.25">
      <c r="A31" s="96" t="s">
        <v>246</v>
      </c>
      <c r="B31" s="42" t="s">
        <v>18</v>
      </c>
      <c r="C31" s="64">
        <v>1982</v>
      </c>
      <c r="D31" s="64">
        <v>1991</v>
      </c>
      <c r="E31" s="42">
        <v>2021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x14ac:dyDescent="0.25">
      <c r="A32" s="39" t="s">
        <v>247</v>
      </c>
      <c r="B32" s="42" t="s">
        <v>18</v>
      </c>
      <c r="C32" s="44" t="s">
        <v>156</v>
      </c>
      <c r="D32" s="44" t="s">
        <v>159</v>
      </c>
      <c r="E32" s="20" t="s">
        <v>165</v>
      </c>
    </row>
    <row r="33" spans="1:33" x14ac:dyDescent="0.25">
      <c r="A33" s="39" t="s">
        <v>248</v>
      </c>
      <c r="B33" s="42" t="s">
        <v>18</v>
      </c>
      <c r="C33" s="44" t="s">
        <v>156</v>
      </c>
      <c r="D33" s="44" t="s">
        <v>159</v>
      </c>
      <c r="E33" s="20" t="s">
        <v>162</v>
      </c>
    </row>
    <row r="34" spans="1:33" s="176" customFormat="1" x14ac:dyDescent="0.25">
      <c r="A34" s="19" t="s">
        <v>250</v>
      </c>
      <c r="B34" s="42"/>
      <c r="C34" s="64"/>
      <c r="D34" s="64"/>
      <c r="E34" s="64"/>
    </row>
    <row r="35" spans="1:33" x14ac:dyDescent="0.25">
      <c r="A35" s="39" t="s">
        <v>251</v>
      </c>
      <c r="B35" s="42" t="s">
        <v>18</v>
      </c>
      <c r="C35" s="64">
        <v>7</v>
      </c>
      <c r="D35" s="64">
        <v>7</v>
      </c>
      <c r="E35" s="64">
        <v>7</v>
      </c>
    </row>
    <row r="36" spans="1:33" s="173" customFormat="1" x14ac:dyDescent="0.25">
      <c r="A36" s="169" t="s">
        <v>252</v>
      </c>
      <c r="B36" s="42" t="s">
        <v>18</v>
      </c>
      <c r="C36" s="151">
        <v>4</v>
      </c>
      <c r="D36" s="151">
        <v>4</v>
      </c>
      <c r="E36" s="151">
        <v>4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x14ac:dyDescent="0.25">
      <c r="A37" s="56" t="s">
        <v>605</v>
      </c>
      <c r="B37" s="177"/>
      <c r="C37" s="177"/>
      <c r="D37" s="177"/>
      <c r="E37" s="55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B50DB-E06B-4C47-8290-FCC25A4C72F9}">
  <dimension ref="A1:BC50"/>
  <sheetViews>
    <sheetView workbookViewId="0"/>
  </sheetViews>
  <sheetFormatPr defaultColWidth="9.28515625" defaultRowHeight="15" x14ac:dyDescent="0.25"/>
  <cols>
    <col min="1" max="1" width="152.28515625" style="11" bestFit="1" customWidth="1"/>
    <col min="2" max="2" width="25.7109375" style="37" bestFit="1" customWidth="1"/>
    <col min="3" max="3" width="34.140625" style="37" bestFit="1" customWidth="1"/>
    <col min="4" max="4" width="11.7109375" style="37" bestFit="1" customWidth="1"/>
    <col min="5" max="5" width="10.5703125" style="37" bestFit="1" customWidth="1"/>
    <col min="6" max="6" width="9.28515625" style="37"/>
    <col min="7" max="7" width="9.28515625" style="13"/>
    <col min="8" max="10" width="9.28515625" style="10"/>
    <col min="11" max="16384" width="9.28515625" style="11"/>
  </cols>
  <sheetData>
    <row r="1" spans="1:55" x14ac:dyDescent="0.25">
      <c r="A1" s="6" t="s">
        <v>174</v>
      </c>
      <c r="B1" s="7"/>
      <c r="C1" s="7"/>
      <c r="D1" s="8"/>
      <c r="E1" s="8"/>
      <c r="F1" s="8"/>
      <c r="G1" s="9"/>
    </row>
    <row r="2" spans="1:55" x14ac:dyDescent="0.25">
      <c r="A2" s="12"/>
      <c r="B2" s="7"/>
      <c r="C2" s="7"/>
      <c r="D2" s="8"/>
      <c r="E2" s="8"/>
      <c r="F2" s="8"/>
    </row>
    <row r="3" spans="1:55" x14ac:dyDescent="0.25">
      <c r="A3" s="45" t="s">
        <v>174</v>
      </c>
      <c r="B3" s="45" t="s">
        <v>208</v>
      </c>
      <c r="C3" s="45" t="s">
        <v>209</v>
      </c>
      <c r="D3" s="45" t="s">
        <v>210</v>
      </c>
      <c r="E3" s="45" t="s">
        <v>211</v>
      </c>
      <c r="F3" s="45" t="s">
        <v>212</v>
      </c>
      <c r="H3" s="13"/>
      <c r="I3" s="13"/>
    </row>
    <row r="4" spans="1:55" x14ac:dyDescent="0.25">
      <c r="A4" s="14" t="s">
        <v>213</v>
      </c>
      <c r="B4" s="15" t="s">
        <v>18</v>
      </c>
      <c r="C4" s="15" t="s">
        <v>18</v>
      </c>
      <c r="D4" s="16" t="s">
        <v>6</v>
      </c>
      <c r="E4" s="16" t="s">
        <v>9</v>
      </c>
      <c r="F4" s="16" t="s">
        <v>6</v>
      </c>
      <c r="H4" s="13"/>
      <c r="I4" s="13"/>
    </row>
    <row r="5" spans="1:55" x14ac:dyDescent="0.25">
      <c r="A5" s="17" t="s">
        <v>214</v>
      </c>
      <c r="B5" s="15" t="s">
        <v>18</v>
      </c>
      <c r="C5" s="15" t="s">
        <v>18</v>
      </c>
      <c r="D5" s="18">
        <v>133.023</v>
      </c>
      <c r="E5" s="18">
        <v>134.69499999999999</v>
      </c>
      <c r="F5" s="18">
        <v>137.03100000000001</v>
      </c>
      <c r="H5" s="13"/>
      <c r="I5" s="13"/>
    </row>
    <row r="6" spans="1:55" x14ac:dyDescent="0.25">
      <c r="A6" s="19" t="s">
        <v>215</v>
      </c>
      <c r="B6" s="20"/>
      <c r="C6" s="20"/>
      <c r="D6" s="20"/>
      <c r="E6" s="20"/>
      <c r="F6" s="20"/>
      <c r="H6" s="13"/>
      <c r="I6" s="13"/>
    </row>
    <row r="7" spans="1:55" x14ac:dyDescent="0.25">
      <c r="A7" s="21" t="s">
        <v>216</v>
      </c>
      <c r="B7" s="22">
        <v>100</v>
      </c>
      <c r="C7" s="22">
        <v>95.893150409770556</v>
      </c>
      <c r="D7" s="22">
        <v>95.95960117169858</v>
      </c>
      <c r="E7" s="22">
        <v>95.131849562346488</v>
      </c>
      <c r="F7" s="22">
        <v>95.826699647842517</v>
      </c>
      <c r="G7" s="23"/>
      <c r="H7" s="13"/>
      <c r="I7" s="13"/>
    </row>
    <row r="8" spans="1:55" x14ac:dyDescent="0.25">
      <c r="A8" s="24" t="s">
        <v>217</v>
      </c>
      <c r="B8" s="25">
        <f>65+11.8875479735432</f>
        <v>76.887547973543207</v>
      </c>
      <c r="C8" s="25">
        <f>65+10.5011528234786</f>
        <v>75.501152823478606</v>
      </c>
      <c r="D8" s="25">
        <f>65+9.9886875826993</f>
        <v>74.988687582699299</v>
      </c>
      <c r="E8" s="25">
        <f>65+9.83641792275616</f>
        <v>74.836417922756155</v>
      </c>
      <c r="F8" s="25">
        <f>65+11.013618064258</f>
        <v>76.013618064257997</v>
      </c>
      <c r="G8" s="23"/>
      <c r="H8" s="13"/>
      <c r="I8" s="13"/>
    </row>
    <row r="9" spans="1:55" x14ac:dyDescent="0.25">
      <c r="A9" s="26" t="s">
        <v>218</v>
      </c>
      <c r="B9" s="27">
        <v>100</v>
      </c>
      <c r="C9" s="27">
        <v>94.476693751038965</v>
      </c>
      <c r="D9" s="27">
        <v>93.999622485063142</v>
      </c>
      <c r="E9" s="27">
        <v>93.090446585469877</v>
      </c>
      <c r="F9" s="27">
        <v>94.953765017014774</v>
      </c>
      <c r="G9" s="23"/>
      <c r="H9" s="13"/>
      <c r="I9" s="13"/>
    </row>
    <row r="10" spans="1:55" x14ac:dyDescent="0.25">
      <c r="A10" s="21" t="s">
        <v>219</v>
      </c>
      <c r="B10" s="22">
        <v>70.831613448245761</v>
      </c>
      <c r="C10" s="22">
        <v>69.20662285809837</v>
      </c>
      <c r="D10" s="22">
        <v>70.450859397122542</v>
      </c>
      <c r="E10" s="22">
        <v>63.522451474672422</v>
      </c>
      <c r="F10" s="22">
        <v>67.962386319074199</v>
      </c>
      <c r="G10" s="23"/>
    </row>
    <row r="11" spans="1:55" x14ac:dyDescent="0.25">
      <c r="A11" s="19" t="s">
        <v>220</v>
      </c>
      <c r="B11" s="20"/>
      <c r="C11" s="20"/>
      <c r="D11" s="20"/>
      <c r="E11" s="20"/>
      <c r="F11" s="20"/>
      <c r="G11" s="23"/>
      <c r="H11" s="13"/>
      <c r="I11" s="13"/>
    </row>
    <row r="12" spans="1:55" x14ac:dyDescent="0.25">
      <c r="A12" s="21" t="s">
        <v>221</v>
      </c>
      <c r="B12" s="22">
        <v>100</v>
      </c>
      <c r="C12" s="22">
        <v>104.70187487837065</v>
      </c>
      <c r="D12" s="22">
        <v>105.69374313404749</v>
      </c>
      <c r="E12" s="22">
        <v>101.42469210110286</v>
      </c>
      <c r="F12" s="22">
        <v>103.71000662269377</v>
      </c>
      <c r="G12" s="23"/>
      <c r="H12" s="13"/>
      <c r="I12" s="13"/>
    </row>
    <row r="13" spans="1:55" x14ac:dyDescent="0.25">
      <c r="A13" s="28" t="s">
        <v>222</v>
      </c>
      <c r="B13" s="27">
        <v>100</v>
      </c>
      <c r="C13" s="27">
        <v>100.97761794806408</v>
      </c>
      <c r="D13" s="27">
        <v>100.66985393554859</v>
      </c>
      <c r="E13" s="27">
        <v>97.763131264220505</v>
      </c>
      <c r="F13" s="27">
        <v>101.2853819605796</v>
      </c>
      <c r="G13" s="29"/>
      <c r="H13" s="13"/>
      <c r="I13" s="13"/>
    </row>
    <row r="14" spans="1:55" x14ac:dyDescent="0.25">
      <c r="A14" s="21" t="s">
        <v>223</v>
      </c>
      <c r="B14" s="22">
        <v>100</v>
      </c>
      <c r="C14" s="22">
        <v>101.71634934384021</v>
      </c>
      <c r="D14" s="22">
        <v>103.3956487932802</v>
      </c>
      <c r="E14" s="22">
        <v>101.47462723705893</v>
      </c>
      <c r="F14" s="22">
        <v>100.0370498944002</v>
      </c>
      <c r="G14" s="23"/>
    </row>
    <row r="15" spans="1:55" x14ac:dyDescent="0.25">
      <c r="A15" s="24" t="s">
        <v>224</v>
      </c>
      <c r="B15" s="22">
        <v>100</v>
      </c>
      <c r="C15" s="30">
        <v>103.39537995595873</v>
      </c>
      <c r="D15" s="22">
        <v>104.67236787148425</v>
      </c>
      <c r="E15" s="22">
        <v>101.44633066001715</v>
      </c>
      <c r="F15" s="22">
        <v>102.11839204043322</v>
      </c>
      <c r="G15" s="23"/>
    </row>
    <row r="16" spans="1:55" s="31" customFormat="1" x14ac:dyDescent="0.25">
      <c r="A16" s="21" t="s">
        <v>225</v>
      </c>
      <c r="B16" s="22">
        <v>66.243111205308352</v>
      </c>
      <c r="C16" s="22">
        <v>67.379701423157968</v>
      </c>
      <c r="D16" s="30">
        <v>67.809694747085786</v>
      </c>
      <c r="E16" s="30">
        <v>61.497115476045614</v>
      </c>
      <c r="F16" s="30">
        <v>66.949708099230151</v>
      </c>
      <c r="G16" s="23"/>
      <c r="H16" s="10"/>
      <c r="I16" s="10"/>
      <c r="J16" s="10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</row>
    <row r="17" spans="1:55" x14ac:dyDescent="0.25">
      <c r="A17" s="19" t="s">
        <v>226</v>
      </c>
      <c r="B17" s="20"/>
      <c r="C17" s="20"/>
      <c r="D17" s="20"/>
      <c r="E17" s="20"/>
      <c r="F17" s="20"/>
      <c r="G17" s="23"/>
    </row>
    <row r="18" spans="1:55" x14ac:dyDescent="0.25">
      <c r="A18" s="21" t="s">
        <v>227</v>
      </c>
      <c r="B18" s="22">
        <v>100</v>
      </c>
      <c r="C18" s="22">
        <v>115.41607398620273</v>
      </c>
      <c r="D18" s="22">
        <v>121.37611062796944</v>
      </c>
      <c r="E18" s="22">
        <v>113.78467102205636</v>
      </c>
      <c r="F18" s="22">
        <v>109.45603734443601</v>
      </c>
      <c r="G18" s="23"/>
    </row>
    <row r="19" spans="1:55" x14ac:dyDescent="0.25">
      <c r="A19" s="21" t="s">
        <v>228</v>
      </c>
      <c r="B19" s="22">
        <v>100</v>
      </c>
      <c r="C19" s="22">
        <v>102.32527408272034</v>
      </c>
      <c r="D19" s="22">
        <v>105.54758876196486</v>
      </c>
      <c r="E19" s="22">
        <v>102.64553435334653</v>
      </c>
      <c r="F19" s="22">
        <v>99.10295940347585</v>
      </c>
      <c r="G19" s="23"/>
    </row>
    <row r="20" spans="1:55" x14ac:dyDescent="0.25">
      <c r="A20" s="21" t="s">
        <v>229</v>
      </c>
      <c r="B20" s="22">
        <v>100</v>
      </c>
      <c r="C20" s="22">
        <v>89.479593052053247</v>
      </c>
      <c r="D20" s="22">
        <v>90.573248618077372</v>
      </c>
      <c r="E20" s="22">
        <v>87.142456506455872</v>
      </c>
      <c r="F20" s="22">
        <v>88.385937486029121</v>
      </c>
      <c r="G20" s="23"/>
    </row>
    <row r="21" spans="1:55" x14ac:dyDescent="0.25">
      <c r="A21" s="21" t="s">
        <v>230</v>
      </c>
      <c r="B21" s="22">
        <v>100</v>
      </c>
      <c r="C21" s="22">
        <v>94.54766688024722</v>
      </c>
      <c r="D21" s="22">
        <v>91.431657647394147</v>
      </c>
      <c r="E21" s="22">
        <v>96.169614987824957</v>
      </c>
      <c r="F21" s="22">
        <v>97.663676113100308</v>
      </c>
      <c r="G21" s="23"/>
    </row>
    <row r="22" spans="1:55" x14ac:dyDescent="0.25">
      <c r="A22" s="21" t="s">
        <v>231</v>
      </c>
      <c r="B22" s="22">
        <v>100</v>
      </c>
      <c r="C22" s="22">
        <v>98.85814642526617</v>
      </c>
      <c r="D22" s="22">
        <v>95.073360018379091</v>
      </c>
      <c r="E22" s="22">
        <v>96.137535367059186</v>
      </c>
      <c r="F22" s="22">
        <v>102.64293283215326</v>
      </c>
      <c r="G22" s="23"/>
    </row>
    <row r="23" spans="1:55" s="33" customFormat="1" x14ac:dyDescent="0.25">
      <c r="A23" s="32" t="s">
        <v>232</v>
      </c>
      <c r="B23" s="22"/>
      <c r="C23" s="22"/>
      <c r="D23" s="20"/>
      <c r="E23" s="20"/>
      <c r="F23" s="20"/>
      <c r="G23" s="23"/>
      <c r="H23" s="10"/>
      <c r="I23" s="10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</row>
    <row r="24" spans="1:55" x14ac:dyDescent="0.25">
      <c r="A24" s="21" t="s">
        <v>233</v>
      </c>
      <c r="B24" s="22">
        <v>100</v>
      </c>
      <c r="C24" s="22">
        <v>96.529474748441075</v>
      </c>
      <c r="D24" s="22">
        <v>99.861934609782708</v>
      </c>
      <c r="E24" s="22">
        <v>94.273000135039098</v>
      </c>
      <c r="F24" s="22">
        <v>93.197014887099456</v>
      </c>
      <c r="G24" s="34"/>
    </row>
    <row r="25" spans="1:55" x14ac:dyDescent="0.25">
      <c r="A25" s="24" t="s">
        <v>234</v>
      </c>
      <c r="B25" s="25">
        <f>65+6.751636853557</f>
        <v>71.751636853557002</v>
      </c>
      <c r="C25" s="25">
        <f>65+7.07602100547543</f>
        <v>72.076021005475425</v>
      </c>
      <c r="D25" s="25">
        <f>65+5.25603825502355</f>
        <v>70.256038255023554</v>
      </c>
      <c r="E25" s="25">
        <f>65+6.22214743242853</f>
        <v>71.222147432428528</v>
      </c>
      <c r="F25" s="25">
        <f>65+8.8960037559273</f>
        <v>73.896003755927296</v>
      </c>
      <c r="G25" s="23"/>
    </row>
    <row r="26" spans="1:55" x14ac:dyDescent="0.25">
      <c r="A26" s="21" t="s">
        <v>235</v>
      </c>
      <c r="B26" s="22">
        <v>100</v>
      </c>
      <c r="C26" s="22">
        <v>105.53761187224988</v>
      </c>
      <c r="D26" s="22">
        <v>106.07003040929487</v>
      </c>
      <c r="E26" s="22">
        <v>102.44075292585151</v>
      </c>
      <c r="F26" s="22">
        <v>105.00519333520488</v>
      </c>
      <c r="G26" s="23"/>
    </row>
    <row r="27" spans="1:55" s="37" customFormat="1" x14ac:dyDescent="0.25">
      <c r="A27" s="24" t="s">
        <v>236</v>
      </c>
      <c r="B27" s="25">
        <f>65+7.7150581746045</f>
        <v>72.715058174604494</v>
      </c>
      <c r="C27" s="25">
        <f>65+6.210918445475</f>
        <v>71.210918445475002</v>
      </c>
      <c r="D27" s="25">
        <f>65+4.69669881901157</f>
        <v>69.696698819011573</v>
      </c>
      <c r="E27" s="25">
        <f>65+4.2082784537028</f>
        <v>69.208278453702803</v>
      </c>
      <c r="F27" s="25">
        <f>65+7.72513807193839</f>
        <v>72.725138071938389</v>
      </c>
      <c r="G27" s="23"/>
      <c r="H27" s="35"/>
      <c r="I27" s="35"/>
      <c r="J27" s="35"/>
      <c r="K27" s="36"/>
      <c r="L27" s="36"/>
      <c r="M27" s="36"/>
      <c r="N27" s="36"/>
      <c r="O27" s="36"/>
      <c r="P27" s="36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</row>
    <row r="28" spans="1:55" x14ac:dyDescent="0.25">
      <c r="A28" s="21" t="s">
        <v>237</v>
      </c>
      <c r="B28" s="22">
        <v>100</v>
      </c>
      <c r="C28" s="22">
        <v>106.75097830478397</v>
      </c>
      <c r="D28" s="22">
        <v>105.22716105687915</v>
      </c>
      <c r="E28" s="22">
        <v>99.217422940353032</v>
      </c>
      <c r="F28" s="22">
        <v>108.27479555268877</v>
      </c>
      <c r="G28" s="23"/>
    </row>
    <row r="29" spans="1:55" x14ac:dyDescent="0.25">
      <c r="A29" s="21" t="s">
        <v>238</v>
      </c>
      <c r="B29" s="22">
        <v>100</v>
      </c>
      <c r="C29" s="22">
        <v>106.15418218394224</v>
      </c>
      <c r="D29" s="22">
        <v>104.73802685238381</v>
      </c>
      <c r="E29" s="22">
        <v>104.37621464340083</v>
      </c>
      <c r="F29" s="22">
        <v>107.57033751550068</v>
      </c>
      <c r="G29" s="23"/>
    </row>
    <row r="30" spans="1:55" x14ac:dyDescent="0.25">
      <c r="A30" s="38" t="s">
        <v>239</v>
      </c>
      <c r="B30" s="25"/>
      <c r="C30" s="25"/>
      <c r="D30" s="25"/>
      <c r="E30" s="25"/>
      <c r="F30" s="25"/>
      <c r="G30" s="23"/>
    </row>
    <row r="31" spans="1:55" x14ac:dyDescent="0.25">
      <c r="A31" s="39" t="s">
        <v>240</v>
      </c>
      <c r="B31" s="25">
        <v>7.4658701251157149</v>
      </c>
      <c r="C31" s="25">
        <v>7.2791644914560187</v>
      </c>
      <c r="D31" s="25">
        <v>7.1837399972506759</v>
      </c>
      <c r="E31" s="25">
        <v>7.4374216384333769</v>
      </c>
      <c r="F31" s="25">
        <v>7.3745889856613625</v>
      </c>
      <c r="G31" s="23"/>
    </row>
    <row r="32" spans="1:55" x14ac:dyDescent="0.25">
      <c r="A32" s="38" t="s">
        <v>241</v>
      </c>
      <c r="B32" s="25"/>
      <c r="C32" s="25"/>
      <c r="D32" s="25"/>
      <c r="E32" s="25"/>
      <c r="F32" s="25"/>
      <c r="G32" s="23"/>
    </row>
    <row r="33" spans="1:7" x14ac:dyDescent="0.25">
      <c r="A33" s="39" t="s">
        <v>242</v>
      </c>
      <c r="B33" s="40">
        <v>5.8125050399999987</v>
      </c>
      <c r="C33" s="40">
        <v>6.05</v>
      </c>
      <c r="D33" s="25">
        <v>6.3</v>
      </c>
      <c r="E33" s="25">
        <v>6.3</v>
      </c>
      <c r="F33" s="25">
        <v>5.8</v>
      </c>
      <c r="G33" s="23"/>
    </row>
    <row r="34" spans="1:7" x14ac:dyDescent="0.25">
      <c r="A34" s="39" t="s">
        <v>243</v>
      </c>
      <c r="B34" s="40">
        <v>5.3193624319999993</v>
      </c>
      <c r="C34" s="40">
        <v>6.25</v>
      </c>
      <c r="D34" s="41">
        <v>6.2</v>
      </c>
      <c r="E34" s="41">
        <v>3.5</v>
      </c>
      <c r="F34" s="41">
        <v>6.3</v>
      </c>
      <c r="G34" s="23"/>
    </row>
    <row r="35" spans="1:7" x14ac:dyDescent="0.25">
      <c r="A35" s="39" t="s">
        <v>244</v>
      </c>
      <c r="B35" s="40">
        <v>6.6860034999999991</v>
      </c>
      <c r="C35" s="40">
        <v>5.75</v>
      </c>
      <c r="D35" s="25">
        <v>5.0999999999999996</v>
      </c>
      <c r="E35" s="25">
        <v>8.3000000000000007</v>
      </c>
      <c r="F35" s="41">
        <v>6.4</v>
      </c>
      <c r="G35" s="23"/>
    </row>
    <row r="36" spans="1:7" x14ac:dyDescent="0.25">
      <c r="A36" s="38" t="s">
        <v>245</v>
      </c>
      <c r="B36" s="25"/>
      <c r="C36" s="25"/>
      <c r="D36" s="25"/>
      <c r="E36" s="25"/>
      <c r="F36" s="25"/>
      <c r="G36" s="23"/>
    </row>
    <row r="37" spans="1:7" x14ac:dyDescent="0.25">
      <c r="A37" s="39" t="s">
        <v>246</v>
      </c>
      <c r="B37" s="42" t="s">
        <v>18</v>
      </c>
      <c r="C37" s="42" t="s">
        <v>18</v>
      </c>
      <c r="D37" s="20">
        <v>2009</v>
      </c>
      <c r="E37" s="20">
        <v>2009</v>
      </c>
      <c r="F37" s="43">
        <v>2016</v>
      </c>
      <c r="G37" s="23"/>
    </row>
    <row r="38" spans="1:7" x14ac:dyDescent="0.25">
      <c r="A38" s="39" t="s">
        <v>247</v>
      </c>
      <c r="B38" s="42" t="s">
        <v>18</v>
      </c>
      <c r="C38" s="42" t="s">
        <v>18</v>
      </c>
      <c r="D38" s="44" t="s">
        <v>154</v>
      </c>
      <c r="E38" s="44" t="s">
        <v>148</v>
      </c>
      <c r="F38" s="44" t="s">
        <v>148</v>
      </c>
      <c r="G38" s="23"/>
    </row>
    <row r="39" spans="1:7" x14ac:dyDescent="0.25">
      <c r="A39" s="39" t="s">
        <v>248</v>
      </c>
      <c r="B39" s="42" t="s">
        <v>18</v>
      </c>
      <c r="C39" s="42" t="s">
        <v>18</v>
      </c>
      <c r="D39" s="44" t="s">
        <v>156</v>
      </c>
      <c r="E39" s="44" t="s">
        <v>249</v>
      </c>
      <c r="F39" s="44" t="s">
        <v>249</v>
      </c>
      <c r="G39" s="23"/>
    </row>
    <row r="40" spans="1:7" x14ac:dyDescent="0.25">
      <c r="A40" s="19" t="s">
        <v>250</v>
      </c>
      <c r="B40" s="42"/>
      <c r="C40" s="42"/>
      <c r="D40" s="43"/>
      <c r="E40" s="43"/>
      <c r="F40" s="43"/>
    </row>
    <row r="41" spans="1:7" x14ac:dyDescent="0.25">
      <c r="A41" s="39" t="s">
        <v>251</v>
      </c>
      <c r="B41" s="42" t="s">
        <v>18</v>
      </c>
      <c r="C41" s="42" t="s">
        <v>18</v>
      </c>
      <c r="D41" s="43">
        <v>20</v>
      </c>
      <c r="E41" s="43">
        <v>17</v>
      </c>
      <c r="F41" s="43">
        <v>17</v>
      </c>
    </row>
    <row r="42" spans="1:7" x14ac:dyDescent="0.25">
      <c r="A42" s="39" t="s">
        <v>252</v>
      </c>
      <c r="B42" s="42" t="s">
        <v>18</v>
      </c>
      <c r="C42" s="42" t="s">
        <v>18</v>
      </c>
      <c r="D42" s="20">
        <v>19</v>
      </c>
      <c r="E42" s="20">
        <v>16</v>
      </c>
      <c r="F42" s="20">
        <v>16</v>
      </c>
    </row>
    <row r="43" spans="1:7" x14ac:dyDescent="0.25">
      <c r="A43" s="39" t="s">
        <v>253</v>
      </c>
      <c r="B43" s="42" t="s">
        <v>18</v>
      </c>
      <c r="C43" s="42" t="s">
        <v>18</v>
      </c>
      <c r="D43" s="20">
        <v>16</v>
      </c>
      <c r="E43" s="20">
        <v>13</v>
      </c>
      <c r="F43" s="20">
        <v>13</v>
      </c>
    </row>
    <row r="44" spans="1:7" x14ac:dyDescent="0.25">
      <c r="A44" s="39" t="s">
        <v>254</v>
      </c>
      <c r="B44" s="20"/>
      <c r="C44" s="20"/>
      <c r="D44" s="20"/>
      <c r="E44" s="20"/>
      <c r="F44" s="20"/>
    </row>
    <row r="45" spans="1:7" x14ac:dyDescent="0.25">
      <c r="A45" s="39" t="s">
        <v>255</v>
      </c>
      <c r="B45" s="20"/>
      <c r="C45" s="20"/>
      <c r="D45" s="20"/>
      <c r="E45" s="20"/>
      <c r="F45" s="20"/>
    </row>
    <row r="46" spans="1:7" x14ac:dyDescent="0.25">
      <c r="A46" s="39" t="s">
        <v>256</v>
      </c>
      <c r="B46" s="20"/>
      <c r="C46" s="20"/>
      <c r="D46" s="20"/>
      <c r="E46" s="20"/>
      <c r="F46" s="20"/>
    </row>
    <row r="47" spans="1:7" x14ac:dyDescent="0.25">
      <c r="A47" s="39" t="s">
        <v>257</v>
      </c>
      <c r="B47" s="20"/>
      <c r="C47" s="20"/>
      <c r="D47" s="20"/>
      <c r="E47" s="20"/>
      <c r="F47" s="20"/>
    </row>
    <row r="48" spans="1:7" x14ac:dyDescent="0.25">
      <c r="A48" s="39" t="s">
        <v>258</v>
      </c>
      <c r="B48" s="20"/>
      <c r="C48" s="20"/>
      <c r="D48" s="20"/>
      <c r="E48" s="20"/>
      <c r="F48" s="20"/>
    </row>
    <row r="49" spans="1:6" x14ac:dyDescent="0.25">
      <c r="A49" s="39" t="s">
        <v>259</v>
      </c>
      <c r="B49" s="20"/>
      <c r="C49" s="20"/>
      <c r="D49" s="20"/>
      <c r="E49" s="20"/>
      <c r="F49" s="20"/>
    </row>
    <row r="50" spans="1:6" x14ac:dyDescent="0.25">
      <c r="A50" s="39" t="s">
        <v>260</v>
      </c>
      <c r="B50" s="20"/>
      <c r="C50" s="20"/>
      <c r="D50" s="20"/>
      <c r="E50" s="20"/>
      <c r="F50" s="20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27C78-ED08-4A2D-A140-A53F521C5301}">
  <dimension ref="A1:F50"/>
  <sheetViews>
    <sheetView workbookViewId="0"/>
  </sheetViews>
  <sheetFormatPr defaultRowHeight="15" x14ac:dyDescent="0.25"/>
  <cols>
    <col min="1" max="1" width="144.140625" style="46" bestFit="1" customWidth="1"/>
    <col min="2" max="2" width="23.140625" style="46" bestFit="1" customWidth="1"/>
    <col min="3" max="3" width="33.85546875" style="46" bestFit="1" customWidth="1"/>
    <col min="4" max="4" width="13" style="46" bestFit="1" customWidth="1"/>
    <col min="5" max="5" width="9" style="46" bestFit="1" customWidth="1"/>
    <col min="6" max="6" width="11.42578125" style="46" bestFit="1" customWidth="1"/>
  </cols>
  <sheetData>
    <row r="1" spans="1:6" x14ac:dyDescent="0.25">
      <c r="A1" s="6" t="s">
        <v>177</v>
      </c>
    </row>
    <row r="3" spans="1:6" x14ac:dyDescent="0.25">
      <c r="A3" s="58" t="s">
        <v>177</v>
      </c>
      <c r="B3" s="58" t="s">
        <v>208</v>
      </c>
      <c r="C3" s="58" t="s">
        <v>261</v>
      </c>
      <c r="D3" s="58" t="s">
        <v>262</v>
      </c>
      <c r="E3" s="58" t="s">
        <v>263</v>
      </c>
      <c r="F3" s="58" t="s">
        <v>264</v>
      </c>
    </row>
    <row r="4" spans="1:6" x14ac:dyDescent="0.25">
      <c r="A4" s="47" t="s">
        <v>213</v>
      </c>
      <c r="B4" s="48" t="s">
        <v>18</v>
      </c>
      <c r="C4" s="48" t="s">
        <v>18</v>
      </c>
      <c r="D4" s="49" t="s">
        <v>6</v>
      </c>
      <c r="E4" s="49" t="s">
        <v>6</v>
      </c>
      <c r="F4" s="50" t="s">
        <v>15</v>
      </c>
    </row>
    <row r="5" spans="1:6" x14ac:dyDescent="0.25">
      <c r="A5" s="51" t="s">
        <v>214</v>
      </c>
      <c r="B5" s="52" t="s">
        <v>18</v>
      </c>
      <c r="C5" s="52" t="s">
        <v>18</v>
      </c>
      <c r="D5" s="53">
        <v>133.958</v>
      </c>
      <c r="E5" s="53">
        <v>138.12</v>
      </c>
      <c r="F5" s="53">
        <v>139.572</v>
      </c>
    </row>
    <row r="6" spans="1:6" x14ac:dyDescent="0.25">
      <c r="A6" s="19" t="s">
        <v>215</v>
      </c>
      <c r="B6" s="20"/>
      <c r="C6" s="20"/>
      <c r="D6" s="20"/>
      <c r="E6" s="20"/>
      <c r="F6" s="20"/>
    </row>
    <row r="7" spans="1:6" x14ac:dyDescent="0.25">
      <c r="A7" s="21" t="s">
        <v>216</v>
      </c>
      <c r="B7" s="22">
        <v>100</v>
      </c>
      <c r="C7" s="22">
        <v>93.41277801818633</v>
      </c>
      <c r="D7" s="22">
        <v>93.392141693412412</v>
      </c>
      <c r="E7" s="22">
        <v>93.433414342960262</v>
      </c>
      <c r="F7" s="22">
        <v>98.175115806614698</v>
      </c>
    </row>
    <row r="8" spans="1:6" x14ac:dyDescent="0.25">
      <c r="A8" s="24" t="s">
        <v>217</v>
      </c>
      <c r="B8" s="25">
        <f>65+11.8875479735432</f>
        <v>76.887547973543207</v>
      </c>
      <c r="C8" s="25">
        <f>65+11.5093390051178</f>
        <v>76.509339005117795</v>
      </c>
      <c r="D8" s="25">
        <f>65+11.0219451928219</f>
        <v>76.021945192821903</v>
      </c>
      <c r="E8" s="25">
        <f>65+11.9967328174137</f>
        <v>76.996732817413701</v>
      </c>
      <c r="F8" s="25">
        <f>65+11.1973049295323</f>
        <v>76.197304929532294</v>
      </c>
    </row>
    <row r="9" spans="1:6" x14ac:dyDescent="0.25">
      <c r="A9" s="26" t="s">
        <v>218</v>
      </c>
      <c r="B9" s="27">
        <v>100</v>
      </c>
      <c r="C9" s="27">
        <v>93.035723102961498</v>
      </c>
      <c r="D9" s="27">
        <v>92.512131331995661</v>
      </c>
      <c r="E9" s="27">
        <v>93.559314873927306</v>
      </c>
      <c r="F9" s="27">
        <v>97.471941905303552</v>
      </c>
    </row>
    <row r="10" spans="1:6" x14ac:dyDescent="0.25">
      <c r="A10" s="21" t="s">
        <v>219</v>
      </c>
      <c r="B10" s="22">
        <v>70.831613448245761</v>
      </c>
      <c r="C10" s="22">
        <v>71.330500982427267</v>
      </c>
      <c r="D10" s="22">
        <v>71.637818335497585</v>
      </c>
      <c r="E10" s="22">
        <v>71.02318362935695</v>
      </c>
      <c r="F10" s="22">
        <v>60.720976831481622</v>
      </c>
    </row>
    <row r="11" spans="1:6" x14ac:dyDescent="0.25">
      <c r="A11" s="19" t="s">
        <v>220</v>
      </c>
      <c r="B11" s="20"/>
      <c r="C11" s="20"/>
      <c r="D11" s="20"/>
      <c r="E11" s="20"/>
      <c r="F11" s="20"/>
    </row>
    <row r="12" spans="1:6" x14ac:dyDescent="0.25">
      <c r="A12" s="21" t="s">
        <v>221</v>
      </c>
      <c r="B12" s="22">
        <v>100</v>
      </c>
      <c r="C12" s="22">
        <v>101.80598065682986</v>
      </c>
      <c r="D12" s="22">
        <v>101.78161606148787</v>
      </c>
      <c r="E12" s="22">
        <v>101.83034525217185</v>
      </c>
      <c r="F12" s="22">
        <v>112.20688741254847</v>
      </c>
    </row>
    <row r="13" spans="1:6" x14ac:dyDescent="0.25">
      <c r="A13" s="28" t="s">
        <v>222</v>
      </c>
      <c r="B13" s="27">
        <v>100</v>
      </c>
      <c r="C13" s="27">
        <v>98.56335784348839</v>
      </c>
      <c r="D13" s="27">
        <v>98.701085958350717</v>
      </c>
      <c r="E13" s="27">
        <v>98.425629728626063</v>
      </c>
      <c r="F13" s="27">
        <v>109.22101203932908</v>
      </c>
    </row>
    <row r="14" spans="1:6" x14ac:dyDescent="0.25">
      <c r="A14" s="21" t="s">
        <v>223</v>
      </c>
      <c r="B14" s="22">
        <v>100</v>
      </c>
      <c r="C14" s="22">
        <v>98.703827250958582</v>
      </c>
      <c r="D14" s="22">
        <v>98.564855167198473</v>
      </c>
      <c r="E14" s="22">
        <v>98.842799334718691</v>
      </c>
      <c r="F14" s="22">
        <v>104.38782332388742</v>
      </c>
    </row>
    <row r="15" spans="1:6" x14ac:dyDescent="0.25">
      <c r="A15" s="24" t="s">
        <v>224</v>
      </c>
      <c r="B15" s="22">
        <v>100</v>
      </c>
      <c r="C15" s="30">
        <v>99.5</v>
      </c>
      <c r="D15" s="22">
        <v>100.3519445529148</v>
      </c>
      <c r="E15" s="22">
        <v>100.58553445323304</v>
      </c>
      <c r="F15" s="22">
        <v>109.00817937627804</v>
      </c>
    </row>
    <row r="16" spans="1:6" x14ac:dyDescent="0.25">
      <c r="A16" s="21" t="s">
        <v>225</v>
      </c>
      <c r="B16" s="22">
        <v>66.243111205308352</v>
      </c>
      <c r="C16" s="22">
        <v>69.81508893479149</v>
      </c>
      <c r="D16" s="22">
        <v>69.837473091114902</v>
      </c>
      <c r="E16" s="30">
        <v>69.792704778468078</v>
      </c>
      <c r="F16" s="22">
        <v>57.101115832690112</v>
      </c>
    </row>
    <row r="17" spans="1:6" x14ac:dyDescent="0.25">
      <c r="A17" s="19" t="s">
        <v>226</v>
      </c>
      <c r="B17" s="20"/>
      <c r="C17" s="20"/>
      <c r="D17" s="20"/>
      <c r="E17" s="20"/>
      <c r="F17" s="20"/>
    </row>
    <row r="18" spans="1:6" x14ac:dyDescent="0.25">
      <c r="A18" s="21" t="s">
        <v>227</v>
      </c>
      <c r="B18" s="22">
        <v>100</v>
      </c>
      <c r="C18" s="22">
        <v>107.8487435526573</v>
      </c>
      <c r="D18" s="22">
        <v>108.16575055249491</v>
      </c>
      <c r="E18" s="22">
        <v>107.53173655281967</v>
      </c>
      <c r="F18" s="22">
        <v>120.75295323246512</v>
      </c>
    </row>
    <row r="19" spans="1:6" x14ac:dyDescent="0.25">
      <c r="A19" s="21" t="s">
        <v>228</v>
      </c>
      <c r="B19" s="22">
        <v>100</v>
      </c>
      <c r="C19" s="22">
        <v>99.387291124107108</v>
      </c>
      <c r="D19" s="22">
        <v>100.03946693880162</v>
      </c>
      <c r="E19" s="22">
        <v>98.735115309412592</v>
      </c>
      <c r="F19" s="22">
        <v>103.69764779980713</v>
      </c>
    </row>
    <row r="20" spans="1:6" x14ac:dyDescent="0.25">
      <c r="A20" s="21" t="s">
        <v>229</v>
      </c>
      <c r="B20" s="22">
        <v>100</v>
      </c>
      <c r="C20" s="22">
        <v>89.845141410495131</v>
      </c>
      <c r="D20" s="22">
        <v>89.993171017308001</v>
      </c>
      <c r="E20" s="22">
        <v>89.697111803682247</v>
      </c>
      <c r="F20" s="22">
        <v>94.492946591407403</v>
      </c>
    </row>
    <row r="21" spans="1:6" x14ac:dyDescent="0.25">
      <c r="A21" s="21" t="s">
        <v>230</v>
      </c>
      <c r="B21" s="22">
        <v>100</v>
      </c>
      <c r="C21" s="22">
        <v>90.42279703828828</v>
      </c>
      <c r="D21" s="22">
        <v>89.972069066216463</v>
      </c>
      <c r="E21" s="22">
        <v>90.873525010360098</v>
      </c>
      <c r="F21" s="22">
        <v>96.281948227324321</v>
      </c>
    </row>
    <row r="22" spans="1:6" x14ac:dyDescent="0.25">
      <c r="A22" s="21" t="s">
        <v>231</v>
      </c>
      <c r="B22" s="22">
        <v>100</v>
      </c>
      <c r="C22" s="22">
        <v>92.573942036127846</v>
      </c>
      <c r="D22" s="22">
        <v>91.515310734960309</v>
      </c>
      <c r="E22" s="22">
        <v>93.632573337295369</v>
      </c>
      <c r="F22" s="22">
        <v>97.603147667812905</v>
      </c>
    </row>
    <row r="23" spans="1:6" x14ac:dyDescent="0.25">
      <c r="A23" s="32" t="s">
        <v>232</v>
      </c>
      <c r="B23" s="22"/>
      <c r="C23" s="22"/>
      <c r="D23" s="20"/>
      <c r="E23" s="20"/>
      <c r="F23" s="20"/>
    </row>
    <row r="24" spans="1:6" x14ac:dyDescent="0.25">
      <c r="A24" s="21" t="s">
        <v>233</v>
      </c>
      <c r="B24" s="22">
        <v>100</v>
      </c>
      <c r="C24" s="22">
        <v>90.972329991446671</v>
      </c>
      <c r="D24" s="22">
        <v>92.911788376376904</v>
      </c>
      <c r="E24" s="22">
        <v>89.032871606516437</v>
      </c>
      <c r="F24" s="22">
        <v>100.09512203875592</v>
      </c>
    </row>
    <row r="25" spans="1:6" x14ac:dyDescent="0.25">
      <c r="A25" s="24" t="s">
        <v>234</v>
      </c>
      <c r="B25" s="25">
        <f>65+6.751636853557</f>
        <v>71.751636853557002</v>
      </c>
      <c r="C25" s="25">
        <f>65+8.08410122544201</f>
        <v>73.084101225442012</v>
      </c>
      <c r="D25" s="25">
        <f>65+7.64647513692586</f>
        <v>72.646475136925858</v>
      </c>
      <c r="E25" s="25">
        <f>65+8.52172731395817</f>
        <v>73.521727313958166</v>
      </c>
      <c r="F25" s="25">
        <f>65+8.76939139167004</f>
        <v>73.769391391670041</v>
      </c>
    </row>
    <row r="26" spans="1:6" x14ac:dyDescent="0.25">
      <c r="A26" s="21" t="s">
        <v>235</v>
      </c>
      <c r="B26" s="22">
        <v>100</v>
      </c>
      <c r="C26" s="22">
        <v>107.09616659093028</v>
      </c>
      <c r="D26" s="22">
        <v>105.37935360696665</v>
      </c>
      <c r="E26" s="22">
        <v>108.81297957489393</v>
      </c>
      <c r="F26" s="22">
        <v>121.2526044905151</v>
      </c>
    </row>
    <row r="27" spans="1:6" x14ac:dyDescent="0.25">
      <c r="A27" s="24" t="s">
        <v>236</v>
      </c>
      <c r="B27" s="25">
        <f>65+7.7150581746045</f>
        <v>72.715058174604494</v>
      </c>
      <c r="C27" s="25">
        <f>65+6.3389838529445</f>
        <v>71.338983852944494</v>
      </c>
      <c r="D27" s="25">
        <f>65+5.83469505620754</f>
        <v>70.834695056207536</v>
      </c>
      <c r="E27" s="25">
        <f>65+6.84327264968148</f>
        <v>71.843272649681481</v>
      </c>
      <c r="F27" s="25">
        <f>65+5.01753066126103</f>
        <v>70.017530661261034</v>
      </c>
    </row>
    <row r="28" spans="1:6" x14ac:dyDescent="0.25">
      <c r="A28" s="21" t="s">
        <v>237</v>
      </c>
      <c r="B28" s="22">
        <v>100</v>
      </c>
      <c r="C28" s="22">
        <v>104.94572253001428</v>
      </c>
      <c r="D28" s="22">
        <v>103.77600406799559</v>
      </c>
      <c r="E28" s="22">
        <v>106.11544099203299</v>
      </c>
      <c r="F28" s="22">
        <v>116.34640782368257</v>
      </c>
    </row>
    <row r="29" spans="1:6" x14ac:dyDescent="0.25">
      <c r="A29" s="21" t="s">
        <v>238</v>
      </c>
      <c r="B29" s="22">
        <v>100</v>
      </c>
      <c r="C29" s="22">
        <v>103.68768771560751</v>
      </c>
      <c r="D29" s="22">
        <v>102.56700811243807</v>
      </c>
      <c r="E29" s="22">
        <v>104.80836731877693</v>
      </c>
      <c r="F29" s="22">
        <v>112.76744846202361</v>
      </c>
    </row>
    <row r="30" spans="1:6" x14ac:dyDescent="0.25">
      <c r="A30" s="38" t="s">
        <v>239</v>
      </c>
      <c r="B30" s="25"/>
      <c r="C30" s="25"/>
      <c r="D30" s="25"/>
      <c r="E30" s="25"/>
      <c r="F30" s="25"/>
    </row>
    <row r="31" spans="1:6" x14ac:dyDescent="0.25">
      <c r="A31" s="39" t="s">
        <v>240</v>
      </c>
      <c r="B31" s="25">
        <v>7.4658701251157149</v>
      </c>
      <c r="C31" s="25">
        <v>7.1386549740761165</v>
      </c>
      <c r="D31" s="41">
        <v>7.3504066639323851</v>
      </c>
      <c r="E31" s="25">
        <v>6.9269032842198479</v>
      </c>
      <c r="F31" s="25">
        <v>7.6809351722520258</v>
      </c>
    </row>
    <row r="32" spans="1:6" x14ac:dyDescent="0.25">
      <c r="A32" s="38" t="s">
        <v>241</v>
      </c>
      <c r="B32" s="25"/>
      <c r="C32" s="25"/>
      <c r="D32" s="25"/>
      <c r="E32" s="25"/>
      <c r="F32" s="25"/>
    </row>
    <row r="33" spans="1:6" x14ac:dyDescent="0.25">
      <c r="A33" s="39" t="s">
        <v>242</v>
      </c>
      <c r="B33" s="40">
        <v>5.8125050399999987</v>
      </c>
      <c r="C33" s="40">
        <v>5.2</v>
      </c>
      <c r="D33" s="25">
        <v>4.4000000000000004</v>
      </c>
      <c r="E33" s="25">
        <v>6</v>
      </c>
      <c r="F33" s="25">
        <v>7.8</v>
      </c>
    </row>
    <row r="34" spans="1:6" x14ac:dyDescent="0.25">
      <c r="A34" s="39" t="s">
        <v>243</v>
      </c>
      <c r="B34" s="40">
        <v>5.3193624319999993</v>
      </c>
      <c r="C34" s="40">
        <v>6.25</v>
      </c>
      <c r="D34" s="25">
        <v>7</v>
      </c>
      <c r="E34" s="41">
        <v>5.5</v>
      </c>
      <c r="F34" s="41">
        <v>6.9</v>
      </c>
    </row>
    <row r="35" spans="1:6" x14ac:dyDescent="0.25">
      <c r="A35" s="39" t="s">
        <v>244</v>
      </c>
      <c r="B35" s="40">
        <v>6.6860034999999991</v>
      </c>
      <c r="C35" s="40">
        <v>5.25</v>
      </c>
      <c r="D35" s="25">
        <v>3.6</v>
      </c>
      <c r="E35" s="25" t="s">
        <v>265</v>
      </c>
      <c r="F35" s="25" t="s">
        <v>266</v>
      </c>
    </row>
    <row r="36" spans="1:6" x14ac:dyDescent="0.25">
      <c r="A36" s="38" t="s">
        <v>245</v>
      </c>
      <c r="B36" s="25"/>
      <c r="C36" s="25"/>
      <c r="D36" s="25"/>
      <c r="E36" s="25"/>
      <c r="F36" s="25"/>
    </row>
    <row r="37" spans="1:6" x14ac:dyDescent="0.25">
      <c r="A37" s="39" t="s">
        <v>246</v>
      </c>
      <c r="B37" s="43" t="s">
        <v>18</v>
      </c>
      <c r="C37" s="43" t="s">
        <v>18</v>
      </c>
      <c r="D37" s="20">
        <v>2000</v>
      </c>
      <c r="E37" s="20">
        <v>2019</v>
      </c>
      <c r="F37" s="43">
        <v>2022</v>
      </c>
    </row>
    <row r="38" spans="1:6" x14ac:dyDescent="0.25">
      <c r="A38" s="39" t="s">
        <v>247</v>
      </c>
      <c r="B38" s="43" t="s">
        <v>18</v>
      </c>
      <c r="C38" s="43" t="s">
        <v>18</v>
      </c>
      <c r="D38" s="54" t="s">
        <v>151</v>
      </c>
      <c r="E38" s="183" t="s">
        <v>165</v>
      </c>
      <c r="F38" s="54" t="s">
        <v>249</v>
      </c>
    </row>
    <row r="39" spans="1:6" x14ac:dyDescent="0.25">
      <c r="A39" s="39" t="s">
        <v>248</v>
      </c>
      <c r="B39" s="43" t="s">
        <v>18</v>
      </c>
      <c r="C39" s="43" t="s">
        <v>18</v>
      </c>
      <c r="D39" s="54" t="s">
        <v>267</v>
      </c>
      <c r="E39" s="183" t="s">
        <v>162</v>
      </c>
      <c r="F39" s="54" t="s">
        <v>249</v>
      </c>
    </row>
    <row r="40" spans="1:6" x14ac:dyDescent="0.25">
      <c r="A40" s="19" t="s">
        <v>250</v>
      </c>
      <c r="B40" s="43" t="s">
        <v>18</v>
      </c>
      <c r="C40" s="43" t="s">
        <v>18</v>
      </c>
      <c r="D40" s="20"/>
      <c r="E40" s="43"/>
      <c r="F40" s="20"/>
    </row>
    <row r="41" spans="1:6" x14ac:dyDescent="0.25">
      <c r="A41" s="39" t="s">
        <v>251</v>
      </c>
      <c r="B41" s="43" t="s">
        <v>18</v>
      </c>
      <c r="C41" s="43" t="s">
        <v>18</v>
      </c>
      <c r="D41" s="20">
        <v>20</v>
      </c>
      <c r="E41" s="43">
        <v>14</v>
      </c>
      <c r="F41" s="20">
        <v>13</v>
      </c>
    </row>
    <row r="42" spans="1:6" x14ac:dyDescent="0.25">
      <c r="A42" s="39" t="s">
        <v>252</v>
      </c>
      <c r="B42" s="43" t="s">
        <v>18</v>
      </c>
      <c r="C42" s="43" t="s">
        <v>18</v>
      </c>
      <c r="D42" s="20">
        <v>19</v>
      </c>
      <c r="E42" s="20">
        <v>13</v>
      </c>
      <c r="F42" s="20">
        <v>12</v>
      </c>
    </row>
    <row r="43" spans="1:6" x14ac:dyDescent="0.25">
      <c r="A43" s="39" t="s">
        <v>253</v>
      </c>
      <c r="B43" s="43" t="s">
        <v>18</v>
      </c>
      <c r="C43" s="43" t="s">
        <v>18</v>
      </c>
      <c r="D43" s="20">
        <v>16</v>
      </c>
      <c r="E43" s="20">
        <v>10</v>
      </c>
      <c r="F43" s="20">
        <v>9</v>
      </c>
    </row>
    <row r="44" spans="1:6" x14ac:dyDescent="0.25">
      <c r="A44" s="55" t="s">
        <v>254</v>
      </c>
      <c r="B44" s="180"/>
      <c r="C44" s="180"/>
      <c r="D44" s="180"/>
      <c r="E44" s="180"/>
      <c r="F44" s="180"/>
    </row>
    <row r="45" spans="1:6" x14ac:dyDescent="0.25">
      <c r="A45" s="56" t="s">
        <v>255</v>
      </c>
      <c r="B45" s="180"/>
      <c r="C45" s="180"/>
      <c r="D45" s="180"/>
      <c r="E45" s="180"/>
      <c r="F45" s="180"/>
    </row>
    <row r="46" spans="1:6" x14ac:dyDescent="0.25">
      <c r="A46" s="56" t="s">
        <v>256</v>
      </c>
      <c r="B46" s="180"/>
      <c r="C46" s="180"/>
      <c r="D46" s="180"/>
      <c r="E46" s="180"/>
      <c r="F46" s="180"/>
    </row>
    <row r="47" spans="1:6" x14ac:dyDescent="0.25">
      <c r="A47" s="56" t="s">
        <v>257</v>
      </c>
      <c r="B47" s="180"/>
      <c r="C47" s="180"/>
      <c r="D47" s="180"/>
      <c r="E47" s="180"/>
      <c r="F47" s="180"/>
    </row>
    <row r="48" spans="1:6" x14ac:dyDescent="0.25">
      <c r="A48" s="55" t="s">
        <v>258</v>
      </c>
      <c r="B48" s="180"/>
      <c r="C48" s="180"/>
      <c r="D48" s="180"/>
      <c r="E48" s="180"/>
      <c r="F48" s="180"/>
    </row>
    <row r="49" spans="1:6" x14ac:dyDescent="0.25">
      <c r="A49" s="57" t="s">
        <v>259</v>
      </c>
      <c r="B49" s="180"/>
      <c r="C49" s="180"/>
      <c r="D49" s="180"/>
      <c r="E49" s="180"/>
      <c r="F49" s="180"/>
    </row>
    <row r="50" spans="1:6" x14ac:dyDescent="0.25">
      <c r="A50" s="55" t="s">
        <v>260</v>
      </c>
      <c r="B50" s="180"/>
      <c r="C50" s="180"/>
      <c r="D50" s="180"/>
      <c r="E50" s="180"/>
      <c r="F50" s="180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A6468-A84E-43A7-BA45-43E4F904029E}">
  <dimension ref="A1:W49"/>
  <sheetViews>
    <sheetView workbookViewId="0"/>
  </sheetViews>
  <sheetFormatPr defaultColWidth="9.28515625" defaultRowHeight="15" x14ac:dyDescent="0.25"/>
  <cols>
    <col min="1" max="1" width="144.140625" bestFit="1" customWidth="1"/>
    <col min="2" max="2" width="23.85546875" style="73" bestFit="1" customWidth="1"/>
    <col min="3" max="3" width="31.140625" style="73" bestFit="1" customWidth="1"/>
    <col min="4" max="4" width="12.7109375" style="73" customWidth="1"/>
    <col min="5" max="5" width="11" style="73" customWidth="1"/>
    <col min="6" max="6" width="9.140625" style="73" bestFit="1" customWidth="1"/>
    <col min="7" max="7" width="14.85546875" style="73" customWidth="1"/>
    <col min="8" max="8" width="9.140625" style="73" bestFit="1" customWidth="1"/>
    <col min="9" max="9" width="11.140625" style="73" bestFit="1" customWidth="1"/>
    <col min="10" max="10" width="11.85546875" style="73" bestFit="1" customWidth="1"/>
    <col min="11" max="12" width="13.42578125" style="73" bestFit="1" customWidth="1"/>
    <col min="13" max="13" width="11.5703125" style="73" bestFit="1" customWidth="1"/>
    <col min="14" max="14" width="10.5703125" style="73" bestFit="1" customWidth="1"/>
    <col min="15" max="15" width="8.85546875" style="73" bestFit="1" customWidth="1"/>
    <col min="16" max="16" width="10" style="73" bestFit="1" customWidth="1"/>
    <col min="17" max="17" width="13.140625" style="73" bestFit="1" customWidth="1"/>
    <col min="18" max="18" width="13.5703125" style="73" bestFit="1" customWidth="1"/>
    <col min="19" max="19" width="13.85546875" style="73" bestFit="1" customWidth="1"/>
    <col min="20" max="20" width="4.7109375" customWidth="1"/>
  </cols>
  <sheetData>
    <row r="1" spans="1:23" x14ac:dyDescent="0.25">
      <c r="A1" s="59" t="s">
        <v>268</v>
      </c>
      <c r="B1" s="60"/>
      <c r="C1" s="60"/>
      <c r="D1" s="61"/>
      <c r="E1" s="62"/>
      <c r="F1" s="61"/>
      <c r="G1" s="62"/>
      <c r="H1" s="62"/>
      <c r="I1" s="62"/>
      <c r="J1" s="62"/>
      <c r="K1" s="61"/>
      <c r="L1" s="61"/>
      <c r="M1" s="62"/>
      <c r="N1" s="61"/>
      <c r="O1" s="62"/>
      <c r="P1" s="61"/>
      <c r="Q1" s="61"/>
      <c r="R1" s="61"/>
      <c r="S1" s="61"/>
    </row>
    <row r="2" spans="1:23" x14ac:dyDescent="0.25">
      <c r="A2" s="63"/>
      <c r="B2" s="60"/>
      <c r="C2" s="60"/>
      <c r="D2" s="61"/>
      <c r="E2" s="62"/>
      <c r="F2" s="61"/>
      <c r="G2" s="62"/>
      <c r="H2" s="62"/>
      <c r="I2" s="62"/>
      <c r="J2" s="62"/>
      <c r="K2" s="61"/>
      <c r="L2" s="61"/>
      <c r="M2" s="62"/>
      <c r="N2" s="61"/>
      <c r="O2" s="62"/>
      <c r="P2" s="61"/>
      <c r="Q2" s="61"/>
      <c r="R2" s="61"/>
      <c r="S2" s="61"/>
      <c r="T2" s="61"/>
    </row>
    <row r="3" spans="1:23" s="75" customFormat="1" x14ac:dyDescent="0.25">
      <c r="A3" s="74" t="s">
        <v>268</v>
      </c>
      <c r="B3" s="74" t="s">
        <v>208</v>
      </c>
      <c r="C3" s="74" t="s">
        <v>269</v>
      </c>
      <c r="D3" s="74" t="s">
        <v>270</v>
      </c>
      <c r="E3" s="74" t="s">
        <v>271</v>
      </c>
      <c r="F3" s="74" t="s">
        <v>272</v>
      </c>
      <c r="G3" s="74" t="s">
        <v>273</v>
      </c>
      <c r="H3" s="74" t="s">
        <v>274</v>
      </c>
      <c r="I3" s="74" t="s">
        <v>275</v>
      </c>
      <c r="J3" s="74" t="s">
        <v>276</v>
      </c>
      <c r="K3" s="74" t="s">
        <v>277</v>
      </c>
      <c r="L3" s="74" t="s">
        <v>278</v>
      </c>
      <c r="M3" s="74" t="s">
        <v>279</v>
      </c>
      <c r="N3" s="74" t="s">
        <v>280</v>
      </c>
      <c r="O3" s="74" t="s">
        <v>281</v>
      </c>
      <c r="P3" s="74" t="s">
        <v>282</v>
      </c>
      <c r="Q3" s="74" t="s">
        <v>283</v>
      </c>
      <c r="R3" s="74" t="s">
        <v>284</v>
      </c>
      <c r="S3" s="74" t="s">
        <v>285</v>
      </c>
    </row>
    <row r="4" spans="1:23" x14ac:dyDescent="0.25">
      <c r="A4" s="14" t="s">
        <v>213</v>
      </c>
      <c r="B4" s="42" t="s">
        <v>18</v>
      </c>
      <c r="C4" s="42" t="s">
        <v>18</v>
      </c>
      <c r="D4" s="16" t="s">
        <v>12</v>
      </c>
      <c r="E4" s="16" t="s">
        <v>6</v>
      </c>
      <c r="F4" s="16" t="s">
        <v>12</v>
      </c>
      <c r="G4" s="16" t="s">
        <v>6</v>
      </c>
      <c r="H4" s="16" t="s">
        <v>6</v>
      </c>
      <c r="I4" s="16" t="s">
        <v>12</v>
      </c>
      <c r="J4" s="16" t="s">
        <v>6</v>
      </c>
      <c r="K4" s="16" t="s">
        <v>12</v>
      </c>
      <c r="L4" s="16" t="s">
        <v>6</v>
      </c>
      <c r="M4" s="16" t="s">
        <v>6</v>
      </c>
      <c r="N4" s="16" t="s">
        <v>6</v>
      </c>
      <c r="O4" s="64" t="s">
        <v>12</v>
      </c>
      <c r="P4" s="16" t="s">
        <v>15</v>
      </c>
      <c r="Q4" s="16" t="s">
        <v>6</v>
      </c>
      <c r="R4" s="16" t="s">
        <v>12</v>
      </c>
      <c r="S4" s="16" t="s">
        <v>12</v>
      </c>
    </row>
    <row r="5" spans="1:23" x14ac:dyDescent="0.25">
      <c r="A5" s="65" t="s">
        <v>214</v>
      </c>
      <c r="B5" s="66" t="s">
        <v>18</v>
      </c>
      <c r="C5" s="66" t="s">
        <v>18</v>
      </c>
      <c r="D5" s="18">
        <v>138.28300000000002</v>
      </c>
      <c r="E5" s="18">
        <v>141.58699999999999</v>
      </c>
      <c r="F5" s="18">
        <v>142.24299999999999</v>
      </c>
      <c r="G5" s="18">
        <v>142.54599999999999</v>
      </c>
      <c r="H5" s="18">
        <v>142.74799999999999</v>
      </c>
      <c r="I5" s="18">
        <v>143.40300000000002</v>
      </c>
      <c r="J5" s="18">
        <v>145.05099999999999</v>
      </c>
      <c r="K5" s="18">
        <v>145.38499999999999</v>
      </c>
      <c r="L5" s="18">
        <v>146.68099999999998</v>
      </c>
      <c r="M5" s="18">
        <v>147.09699999999998</v>
      </c>
      <c r="N5" s="18">
        <v>147.29599999999999</v>
      </c>
      <c r="O5" s="18">
        <v>147.375</v>
      </c>
      <c r="P5" s="18">
        <v>148.16431712962964</v>
      </c>
      <c r="Q5" s="18">
        <v>148.61599999999999</v>
      </c>
      <c r="R5" s="18">
        <v>148.661</v>
      </c>
      <c r="S5" s="18">
        <v>149.01600000000002</v>
      </c>
    </row>
    <row r="6" spans="1:23" s="11" customFormat="1" x14ac:dyDescent="0.25">
      <c r="A6" s="19" t="s">
        <v>215</v>
      </c>
      <c r="B6" s="20"/>
      <c r="C6" s="20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U6"/>
    </row>
    <row r="7" spans="1:23" s="11" customFormat="1" x14ac:dyDescent="0.25">
      <c r="A7" s="21" t="s">
        <v>216</v>
      </c>
      <c r="B7" s="22">
        <v>100</v>
      </c>
      <c r="C7" s="22">
        <v>102.24805684077835</v>
      </c>
      <c r="D7" s="22">
        <v>102.34552436262986</v>
      </c>
      <c r="E7" s="22">
        <v>106.04093934662465</v>
      </c>
      <c r="F7" s="22">
        <v>102.70410526739769</v>
      </c>
      <c r="G7" s="22">
        <v>101.54735816825131</v>
      </c>
      <c r="H7" s="22">
        <v>99.683021771218108</v>
      </c>
      <c r="I7" s="22">
        <v>104.42534529389106</v>
      </c>
      <c r="J7" s="22">
        <v>103.43955545484117</v>
      </c>
      <c r="K7" s="22">
        <v>103.85140010436611</v>
      </c>
      <c r="L7" s="22">
        <v>102.58065477186915</v>
      </c>
      <c r="M7" s="22">
        <v>99.062208268481598</v>
      </c>
      <c r="N7" s="22">
        <v>101.4520042795174</v>
      </c>
      <c r="O7" s="22">
        <v>100.97962983858626</v>
      </c>
      <c r="P7" s="22">
        <v>104.65327970691445</v>
      </c>
      <c r="Q7" s="22">
        <v>104.17871266542325</v>
      </c>
      <c r="R7" s="22">
        <v>103.72553146113101</v>
      </c>
      <c r="S7" s="22">
        <v>108.67687516001656</v>
      </c>
      <c r="U7"/>
    </row>
    <row r="8" spans="1:23" s="11" customFormat="1" x14ac:dyDescent="0.25">
      <c r="A8" s="24" t="s">
        <v>217</v>
      </c>
      <c r="B8" s="25">
        <f>65+11.8875479735432</f>
        <v>76.887547973543207</v>
      </c>
      <c r="C8" s="25">
        <f>65+12.0295205247817</f>
        <v>77.029520524781702</v>
      </c>
      <c r="D8" s="25">
        <f>65+11.8710668694726</f>
        <v>76.8710668694726</v>
      </c>
      <c r="E8" s="25">
        <f>65+11.9894729833933</f>
        <v>76.989472983393298</v>
      </c>
      <c r="F8" s="25">
        <f>65+11.2556323842103</f>
        <v>76.255632384210301</v>
      </c>
      <c r="G8" s="25">
        <f>65+11.7998663131516</f>
        <v>76.799866313151597</v>
      </c>
      <c r="H8" s="25">
        <f>65+10.6835862103559</f>
        <v>75.683586210355898</v>
      </c>
      <c r="I8" s="25">
        <f>65+11.7662916556169</f>
        <v>76.766291655616897</v>
      </c>
      <c r="J8" s="25">
        <f>65+12.4601703523261</f>
        <v>77.460170352326102</v>
      </c>
      <c r="K8" s="25">
        <f>65+10.845192026386</f>
        <v>75.845192026386002</v>
      </c>
      <c r="L8" s="25">
        <f>65+12.3754527266721</f>
        <v>77.375452726672094</v>
      </c>
      <c r="M8" s="25">
        <f>65+12.5037144925214</f>
        <v>77.503714492521397</v>
      </c>
      <c r="N8" s="25">
        <f>65+11.7796457978591</f>
        <v>76.779645797859104</v>
      </c>
      <c r="O8" s="25">
        <f>65+11.349999979224</f>
        <v>76.349999979223995</v>
      </c>
      <c r="P8" s="25">
        <f>65+10.5358504616168</f>
        <v>75.535850461616803</v>
      </c>
      <c r="Q8" s="25">
        <f>65+12.6442553219737</f>
        <v>77.644255321973702</v>
      </c>
      <c r="R8" s="25">
        <f>65+11.8292317469943</f>
        <v>76.829231746994296</v>
      </c>
      <c r="S8" s="25">
        <f>65+14.7475650803276</f>
        <v>79.747565080327604</v>
      </c>
      <c r="U8"/>
    </row>
    <row r="9" spans="1:23" s="11" customFormat="1" x14ac:dyDescent="0.25">
      <c r="A9" s="26" t="s">
        <v>218</v>
      </c>
      <c r="B9" s="27">
        <v>100</v>
      </c>
      <c r="C9" s="22">
        <v>102.45852160390845</v>
      </c>
      <c r="D9" s="27">
        <v>102.26685148940358</v>
      </c>
      <c r="E9" s="27">
        <v>106.24906475237518</v>
      </c>
      <c r="F9" s="27">
        <v>101.75577881954159</v>
      </c>
      <c r="G9" s="27">
        <v>101.5909606130361</v>
      </c>
      <c r="H9" s="27">
        <v>98.289753205963493</v>
      </c>
      <c r="I9" s="27">
        <v>104.20738778605262</v>
      </c>
      <c r="J9" s="27">
        <v>104.19673235967078</v>
      </c>
      <c r="K9" s="27">
        <v>102.44062027822264</v>
      </c>
      <c r="L9" s="27">
        <v>103.15371886872946</v>
      </c>
      <c r="M9" s="27">
        <v>99.952654816688494</v>
      </c>
      <c r="N9" s="27">
        <v>101.35677177596199</v>
      </c>
      <c r="O9" s="27">
        <v>100.13100190712169</v>
      </c>
      <c r="P9" s="27">
        <v>102.55944483334642</v>
      </c>
      <c r="Q9" s="27">
        <v>104.8785164388421</v>
      </c>
      <c r="R9" s="27">
        <v>103.41960616289052</v>
      </c>
      <c r="S9" s="27">
        <v>111.77046940103834</v>
      </c>
      <c r="U9"/>
      <c r="W9" s="68"/>
    </row>
    <row r="10" spans="1:23" s="11" customFormat="1" x14ac:dyDescent="0.25">
      <c r="A10" s="21" t="s">
        <v>219</v>
      </c>
      <c r="B10" s="22">
        <v>70.831613448245761</v>
      </c>
      <c r="C10" s="22">
        <v>71.54506455242803</v>
      </c>
      <c r="D10" s="22">
        <v>68.313140115738946</v>
      </c>
      <c r="E10" s="22">
        <v>66.677502155705369</v>
      </c>
      <c r="F10" s="22">
        <v>73.125270861796039</v>
      </c>
      <c r="G10" s="22">
        <v>69.92899920867896</v>
      </c>
      <c r="H10" s="22">
        <v>68.836454991657476</v>
      </c>
      <c r="I10" s="22">
        <v>69.076213429870535</v>
      </c>
      <c r="J10" s="22">
        <v>77.669077536348397</v>
      </c>
      <c r="K10" s="22">
        <v>67.365722073948731</v>
      </c>
      <c r="L10" s="22">
        <v>69.957751078777449</v>
      </c>
      <c r="M10" s="22">
        <v>74.788143577398174</v>
      </c>
      <c r="N10" s="22">
        <v>69.541044125860438</v>
      </c>
      <c r="O10" s="22">
        <v>71.506392912279253</v>
      </c>
      <c r="P10" s="22">
        <v>69.64115870681448</v>
      </c>
      <c r="Q10" s="22">
        <v>74.961543744997954</v>
      </c>
      <c r="R10" s="22">
        <v>72.176116209842945</v>
      </c>
      <c r="S10" s="22">
        <v>72.516449543176279</v>
      </c>
      <c r="U10"/>
    </row>
    <row r="11" spans="1:23" s="11" customFormat="1" x14ac:dyDescent="0.25">
      <c r="A11" s="19" t="s">
        <v>220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U11"/>
    </row>
    <row r="12" spans="1:23" s="11" customFormat="1" x14ac:dyDescent="0.25">
      <c r="A12" s="21" t="s">
        <v>221</v>
      </c>
      <c r="B12" s="22">
        <v>100</v>
      </c>
      <c r="C12" s="22">
        <v>98.560319633118297</v>
      </c>
      <c r="D12" s="22">
        <v>99.297714450170389</v>
      </c>
      <c r="E12" s="22">
        <v>100.76058540417701</v>
      </c>
      <c r="F12" s="22">
        <v>99.637099776227771</v>
      </c>
      <c r="G12" s="22">
        <v>99.261165838417455</v>
      </c>
      <c r="H12" s="22">
        <v>99.331493996318372</v>
      </c>
      <c r="I12" s="22">
        <v>96.521549722037847</v>
      </c>
      <c r="J12" s="22">
        <v>99.349377888583859</v>
      </c>
      <c r="K12" s="22">
        <v>99.631138960523487</v>
      </c>
      <c r="L12" s="22">
        <v>97.584170078414843</v>
      </c>
      <c r="M12" s="22">
        <v>97.403947411022372</v>
      </c>
      <c r="N12" s="22">
        <v>95.897808707579827</v>
      </c>
      <c r="O12" s="22">
        <v>96.882979586344334</v>
      </c>
      <c r="P12" s="22">
        <v>98.387303215067362</v>
      </c>
      <c r="Q12" s="22">
        <v>98.894007740432627</v>
      </c>
      <c r="R12" s="22">
        <v>97.199108810455542</v>
      </c>
      <c r="S12" s="22">
        <v>99.859288008148411</v>
      </c>
      <c r="U12"/>
    </row>
    <row r="13" spans="1:23" s="11" customFormat="1" x14ac:dyDescent="0.25">
      <c r="A13" s="28" t="s">
        <v>222</v>
      </c>
      <c r="B13" s="27">
        <v>100</v>
      </c>
      <c r="C13" s="27">
        <v>98.031159763909599</v>
      </c>
      <c r="D13" s="27">
        <v>98.835919055403679</v>
      </c>
      <c r="E13" s="27">
        <v>98.75564129230743</v>
      </c>
      <c r="F13" s="27">
        <v>98.313908913243893</v>
      </c>
      <c r="G13" s="27">
        <v>98.726275501759304</v>
      </c>
      <c r="H13" s="27">
        <v>96.928723984265929</v>
      </c>
      <c r="I13" s="27">
        <v>93.841699779229117</v>
      </c>
      <c r="J13" s="27">
        <v>99.967226601583533</v>
      </c>
      <c r="K13" s="27">
        <v>100.11193669378066</v>
      </c>
      <c r="L13" s="27">
        <v>96.92983332300895</v>
      </c>
      <c r="M13" s="27">
        <v>97.959196414097576</v>
      </c>
      <c r="N13" s="27">
        <v>96.055703584564668</v>
      </c>
      <c r="O13" s="27">
        <v>97.6396958404938</v>
      </c>
      <c r="P13" s="27">
        <v>99.455263088521022</v>
      </c>
      <c r="Q13" s="27">
        <v>98.926677409689447</v>
      </c>
      <c r="R13" s="27">
        <v>96.560346351531976</v>
      </c>
      <c r="S13" s="27">
        <v>99.657918885003298</v>
      </c>
      <c r="U13"/>
    </row>
    <row r="14" spans="1:23" s="11" customFormat="1" x14ac:dyDescent="0.25">
      <c r="A14" s="21" t="s">
        <v>223</v>
      </c>
      <c r="B14" s="22">
        <v>100</v>
      </c>
      <c r="C14" s="22">
        <v>101.55507279821249</v>
      </c>
      <c r="D14" s="22">
        <v>108.64870298506939</v>
      </c>
      <c r="E14" s="22">
        <v>104.59384839960717</v>
      </c>
      <c r="F14" s="22">
        <v>102.96696832133937</v>
      </c>
      <c r="G14" s="22">
        <v>100.42256275990027</v>
      </c>
      <c r="H14" s="22">
        <v>102.97082617395824</v>
      </c>
      <c r="I14" s="22">
        <v>103.17012066829982</v>
      </c>
      <c r="J14" s="22">
        <v>101.84175982914826</v>
      </c>
      <c r="K14" s="22">
        <v>104.44084205405971</v>
      </c>
      <c r="L14" s="22">
        <v>99.554313370484721</v>
      </c>
      <c r="M14" s="22">
        <v>99.759233504551801</v>
      </c>
      <c r="N14" s="22">
        <v>101.98800179498362</v>
      </c>
      <c r="O14" s="22">
        <v>98.351666978222639</v>
      </c>
      <c r="P14" s="22">
        <v>100.59109407589949</v>
      </c>
      <c r="Q14" s="22">
        <v>101.31003655306591</v>
      </c>
      <c r="R14" s="22">
        <v>101.53835855774221</v>
      </c>
      <c r="S14" s="22">
        <v>105.46549120965157</v>
      </c>
    </row>
    <row r="15" spans="1:23" s="11" customFormat="1" x14ac:dyDescent="0.25">
      <c r="A15" s="24" t="s">
        <v>224</v>
      </c>
      <c r="B15" s="22">
        <v>100</v>
      </c>
      <c r="C15" s="30">
        <v>99.929841991298076</v>
      </c>
      <c r="D15" s="22">
        <v>103.9732087176199</v>
      </c>
      <c r="E15" s="22">
        <v>102.46425784659041</v>
      </c>
      <c r="F15" s="22">
        <v>101.30203404878357</v>
      </c>
      <c r="G15" s="22">
        <v>99.793472760763748</v>
      </c>
      <c r="H15" s="22">
        <v>100.99952124440331</v>
      </c>
      <c r="I15" s="22">
        <v>98.737740037458508</v>
      </c>
      <c r="J15" s="22">
        <v>100.49171961134255</v>
      </c>
      <c r="K15" s="22">
        <v>102.03599050729159</v>
      </c>
      <c r="L15" s="22">
        <v>98.472666072877729</v>
      </c>
      <c r="M15" s="22">
        <v>98.483453537223355</v>
      </c>
      <c r="N15" s="22">
        <v>98.689147205973242</v>
      </c>
      <c r="O15" s="22">
        <v>97.48380624665819</v>
      </c>
      <c r="P15" s="22">
        <v>99.489198645483427</v>
      </c>
      <c r="Q15" s="22">
        <v>100.04449765121039</v>
      </c>
      <c r="R15" s="22">
        <v>98.934808709370216</v>
      </c>
      <c r="S15" s="22">
        <v>102.10176928874968</v>
      </c>
    </row>
    <row r="16" spans="1:23" s="11" customFormat="1" x14ac:dyDescent="0.25">
      <c r="A16" s="21" t="s">
        <v>225</v>
      </c>
      <c r="B16" s="22">
        <v>66.243111205308352</v>
      </c>
      <c r="C16" s="22">
        <v>66.607530424086377</v>
      </c>
      <c r="D16" s="22">
        <v>64.489116943535024</v>
      </c>
      <c r="E16" s="30">
        <v>62.770676651100459</v>
      </c>
      <c r="F16" s="22">
        <v>68.299898619558235</v>
      </c>
      <c r="G16" s="30">
        <v>68.13099106251083</v>
      </c>
      <c r="H16" s="30">
        <v>62.289073543333672</v>
      </c>
      <c r="I16" s="30">
        <v>66.285267569785191</v>
      </c>
      <c r="J16" s="30">
        <v>68.308567748310722</v>
      </c>
      <c r="K16" s="22">
        <v>62.541621557624339</v>
      </c>
      <c r="L16" s="30">
        <v>65.916400760048134</v>
      </c>
      <c r="M16" s="30">
        <v>71.540828806086225</v>
      </c>
      <c r="N16" s="22">
        <v>64.744036920712134</v>
      </c>
      <c r="O16" s="30">
        <v>67.120104864283405</v>
      </c>
      <c r="P16" s="30">
        <v>64.023411594419699</v>
      </c>
      <c r="Q16" s="30">
        <v>69.159667900588943</v>
      </c>
      <c r="R16" s="22">
        <v>66.24138192043435</v>
      </c>
      <c r="S16" s="22">
        <v>68.296881920434345</v>
      </c>
    </row>
    <row r="17" spans="1:19" s="11" customFormat="1" x14ac:dyDescent="0.25">
      <c r="A17" s="19" t="s">
        <v>226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19" s="11" customFormat="1" x14ac:dyDescent="0.25">
      <c r="A18" s="21" t="s">
        <v>227</v>
      </c>
      <c r="B18" s="22">
        <v>100</v>
      </c>
      <c r="C18" s="22">
        <v>104.92999675503283</v>
      </c>
      <c r="D18" s="22">
        <v>121.37097713167363</v>
      </c>
      <c r="E18" s="22">
        <v>109.43045871189396</v>
      </c>
      <c r="F18" s="22">
        <v>107.48702364197335</v>
      </c>
      <c r="G18" s="22">
        <v>104.33935050851322</v>
      </c>
      <c r="H18" s="22">
        <v>111.4551134096718</v>
      </c>
      <c r="I18" s="22">
        <v>99.333759660891644</v>
      </c>
      <c r="J18" s="22">
        <v>104.3967713029413</v>
      </c>
      <c r="K18" s="22">
        <v>114.88277461528344</v>
      </c>
      <c r="L18" s="22">
        <v>98.64280820515863</v>
      </c>
      <c r="M18" s="22">
        <v>99.942210481528335</v>
      </c>
      <c r="N18" s="22">
        <v>105.9288796494547</v>
      </c>
      <c r="O18" s="22">
        <v>91.874924316590452</v>
      </c>
      <c r="P18" s="22">
        <v>105.51125423648715</v>
      </c>
      <c r="Q18" s="22">
        <v>105.30438177110088</v>
      </c>
      <c r="R18" s="22">
        <v>97.389258569382164</v>
      </c>
      <c r="S18" s="22">
        <v>109.442733152749</v>
      </c>
    </row>
    <row r="19" spans="1:19" s="11" customFormat="1" x14ac:dyDescent="0.25">
      <c r="A19" s="21" t="s">
        <v>228</v>
      </c>
      <c r="B19" s="22">
        <v>100</v>
      </c>
      <c r="C19" s="22">
        <v>104.15601180023842</v>
      </c>
      <c r="D19" s="22">
        <v>110.83930435836906</v>
      </c>
      <c r="E19" s="22">
        <v>108.64047646678894</v>
      </c>
      <c r="F19" s="22">
        <v>111.10641367020848</v>
      </c>
      <c r="G19" s="22">
        <v>104.31778777477152</v>
      </c>
      <c r="H19" s="22">
        <v>106.33568281133765</v>
      </c>
      <c r="I19" s="22">
        <v>102.58493021813706</v>
      </c>
      <c r="J19" s="22">
        <v>106.51384989706926</v>
      </c>
      <c r="K19" s="22">
        <v>107.21849041952592</v>
      </c>
      <c r="L19" s="22">
        <v>100.56045007732452</v>
      </c>
      <c r="M19" s="22">
        <v>99.327874630081524</v>
      </c>
      <c r="N19" s="22">
        <v>104.79463559053926</v>
      </c>
      <c r="O19" s="22">
        <v>94.833520511836383</v>
      </c>
      <c r="P19" s="22">
        <v>104.71610212956382</v>
      </c>
      <c r="Q19" s="22">
        <v>102.75733715399474</v>
      </c>
      <c r="R19" s="22">
        <v>97.811864383640099</v>
      </c>
      <c r="S19" s="22">
        <v>108.25768252547572</v>
      </c>
    </row>
    <row r="20" spans="1:19" s="11" customFormat="1" x14ac:dyDescent="0.25">
      <c r="A20" s="21" t="s">
        <v>229</v>
      </c>
      <c r="B20" s="22">
        <v>100</v>
      </c>
      <c r="C20" s="22">
        <v>99.072339605313815</v>
      </c>
      <c r="D20" s="22">
        <v>93.446677154543906</v>
      </c>
      <c r="E20" s="22">
        <v>101.99601455254123</v>
      </c>
      <c r="F20" s="22">
        <v>97.485762837286885</v>
      </c>
      <c r="G20" s="22">
        <v>96.454805166096421</v>
      </c>
      <c r="H20" s="22">
        <v>93.94116726823458</v>
      </c>
      <c r="I20" s="22">
        <v>101.14371912673003</v>
      </c>
      <c r="J20" s="22">
        <v>100.66454543419991</v>
      </c>
      <c r="K20" s="22">
        <v>98.445808941994741</v>
      </c>
      <c r="L20" s="22">
        <v>100.32098796986885</v>
      </c>
      <c r="M20" s="22">
        <v>98.850286104390605</v>
      </c>
      <c r="N20" s="22">
        <v>99.301344038939391</v>
      </c>
      <c r="O20" s="22">
        <v>103.8702204536138</v>
      </c>
      <c r="P20" s="22">
        <v>103.80344493760678</v>
      </c>
      <c r="Q20" s="22">
        <v>101.04956630823952</v>
      </c>
      <c r="R20" s="22">
        <v>103.74876491900902</v>
      </c>
      <c r="S20" s="22">
        <v>109.68973828109112</v>
      </c>
    </row>
    <row r="21" spans="1:19" s="11" customFormat="1" x14ac:dyDescent="0.25">
      <c r="A21" s="21" t="s">
        <v>230</v>
      </c>
      <c r="B21" s="22">
        <v>100</v>
      </c>
      <c r="C21" s="22">
        <v>103.72380834313493</v>
      </c>
      <c r="D21" s="22">
        <v>100.38803780655697</v>
      </c>
      <c r="E21" s="22">
        <v>110.63289171479828</v>
      </c>
      <c r="F21" s="22">
        <v>101.0977527880832</v>
      </c>
      <c r="G21" s="22">
        <v>103.68883481367382</v>
      </c>
      <c r="H21" s="22">
        <v>100.06522694210194</v>
      </c>
      <c r="I21" s="22">
        <v>109.51981849312817</v>
      </c>
      <c r="J21" s="22">
        <v>102.09928514721733</v>
      </c>
      <c r="K21" s="22">
        <v>105.32260161213459</v>
      </c>
      <c r="L21" s="22">
        <v>106.12941451378734</v>
      </c>
      <c r="M21" s="22">
        <v>100.03549044017129</v>
      </c>
      <c r="N21" s="22">
        <v>99.835061343093983</v>
      </c>
      <c r="O21" s="22">
        <v>102.84540006042768</v>
      </c>
      <c r="P21" s="22">
        <v>105.35472064936458</v>
      </c>
      <c r="Q21" s="22">
        <v>107.30426183023545</v>
      </c>
      <c r="R21" s="22">
        <v>111.5999710772369</v>
      </c>
      <c r="S21" s="22">
        <v>109.86165881617764</v>
      </c>
    </row>
    <row r="22" spans="1:19" s="11" customFormat="1" x14ac:dyDescent="0.25">
      <c r="A22" s="21" t="s">
        <v>231</v>
      </c>
      <c r="B22" s="22">
        <v>100</v>
      </c>
      <c r="C22" s="22">
        <v>104.10250052568928</v>
      </c>
      <c r="D22" s="22">
        <v>110.12883691970084</v>
      </c>
      <c r="E22" s="22">
        <v>104.45382006561371</v>
      </c>
      <c r="F22" s="22">
        <v>101.32768357608202</v>
      </c>
      <c r="G22" s="22">
        <v>105.00735203012324</v>
      </c>
      <c r="H22" s="22">
        <v>99.494115465958657</v>
      </c>
      <c r="I22" s="22">
        <v>108.69907393651411</v>
      </c>
      <c r="J22" s="22">
        <v>106.57216389492201</v>
      </c>
      <c r="K22" s="22">
        <v>107.62341338907952</v>
      </c>
      <c r="L22" s="22">
        <v>106.83001382545375</v>
      </c>
      <c r="M22" s="22">
        <v>97.725964986364886</v>
      </c>
      <c r="N22" s="22">
        <v>102.78555799578952</v>
      </c>
      <c r="O22" s="22">
        <v>103.61272043827596</v>
      </c>
      <c r="P22" s="22">
        <v>105.96990415055484</v>
      </c>
      <c r="Q22" s="22">
        <v>109.95101594128838</v>
      </c>
      <c r="R22" s="22">
        <v>105.36409850101248</v>
      </c>
      <c r="S22" s="22">
        <v>107.55634402861725</v>
      </c>
    </row>
    <row r="23" spans="1:19" s="11" customFormat="1" x14ac:dyDescent="0.25">
      <c r="A23" s="32" t="s">
        <v>232</v>
      </c>
      <c r="B23" s="22"/>
      <c r="C23" s="22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19" s="11" customFormat="1" x14ac:dyDescent="0.25">
      <c r="A24" s="21" t="s">
        <v>233</v>
      </c>
      <c r="B24" s="22">
        <v>100</v>
      </c>
      <c r="C24" s="22">
        <v>98.23138952949796</v>
      </c>
      <c r="D24" s="22">
        <v>105.80220887687595</v>
      </c>
      <c r="E24" s="22">
        <v>100.92452602769868</v>
      </c>
      <c r="F24" s="22">
        <v>97.922606856811072</v>
      </c>
      <c r="G24" s="22">
        <v>101.21563684279388</v>
      </c>
      <c r="H24" s="22">
        <v>102.90282901028959</v>
      </c>
      <c r="I24" s="22">
        <v>93.22219168730544</v>
      </c>
      <c r="J24" s="22">
        <v>98.841938324842232</v>
      </c>
      <c r="K24" s="22">
        <v>98.289693004724469</v>
      </c>
      <c r="L24" s="22">
        <v>94.659318255648614</v>
      </c>
      <c r="M24" s="22">
        <v>97.750610049950453</v>
      </c>
      <c r="N24" s="22">
        <v>92.37965402578034</v>
      </c>
      <c r="O24" s="22">
        <v>91.939357079983864</v>
      </c>
      <c r="P24" s="22">
        <v>99.490501361803396</v>
      </c>
      <c r="Q24" s="22">
        <v>97.176603698979861</v>
      </c>
      <c r="R24" s="22">
        <v>92.820405945824248</v>
      </c>
      <c r="S24" s="22">
        <v>94.568935150564215</v>
      </c>
    </row>
    <row r="25" spans="1:19" s="69" customFormat="1" x14ac:dyDescent="0.25">
      <c r="A25" s="24" t="s">
        <v>286</v>
      </c>
      <c r="B25" s="25">
        <f>65+6.751636853557</f>
        <v>71.751636853557002</v>
      </c>
      <c r="C25" s="25">
        <f>65+6.98448697625075</f>
        <v>71.98448697625075</v>
      </c>
      <c r="D25" s="25">
        <f>65+3.77623942147049</f>
        <v>68.776239421470493</v>
      </c>
      <c r="E25" s="25">
        <f>65+6.66914570299134</f>
        <v>71.669145702991344</v>
      </c>
      <c r="F25" s="25">
        <f>65+6.82232846843597</f>
        <v>71.82232846843597</v>
      </c>
      <c r="G25" s="25">
        <f>65+6.23502614450756</f>
        <v>71.235026144507557</v>
      </c>
      <c r="H25" s="25">
        <f>65+5.21832284804347</f>
        <v>70.218322848043471</v>
      </c>
      <c r="I25" s="25">
        <f>65+5.7336186872104</f>
        <v>70.733618687210395</v>
      </c>
      <c r="J25" s="25">
        <f>65+7.35938477367336</f>
        <v>72.359384773673355</v>
      </c>
      <c r="K25" s="25">
        <f>65+5.05373942149555</f>
        <v>70.05373942149555</v>
      </c>
      <c r="L25" s="25">
        <f>65+8.21411633492424</f>
        <v>73.214116334924242</v>
      </c>
      <c r="M25" s="25">
        <f>65+6.45755358822031</f>
        <v>71.457553588220307</v>
      </c>
      <c r="N25" s="25">
        <f>65+8.32044802788951</f>
        <v>73.320448027889512</v>
      </c>
      <c r="O25" s="25">
        <f>65+8.7332530390235</f>
        <v>73.733253039023495</v>
      </c>
      <c r="P25" s="25">
        <f>65+7.44433546036477</f>
        <v>72.444335460364769</v>
      </c>
      <c r="Q25" s="25">
        <f>65+7.40189838975625</f>
        <v>72.401898389756255</v>
      </c>
      <c r="R25" s="25">
        <f>65+8.36165208535465</f>
        <v>73.361652085354649</v>
      </c>
      <c r="S25" s="25">
        <f>65+9.77054097424353</f>
        <v>74.770540974243531</v>
      </c>
    </row>
    <row r="26" spans="1:19" s="11" customFormat="1" x14ac:dyDescent="0.25">
      <c r="A26" s="21" t="s">
        <v>235</v>
      </c>
      <c r="B26" s="22">
        <v>100</v>
      </c>
      <c r="C26" s="22">
        <v>101.02527373589297</v>
      </c>
      <c r="D26" s="22">
        <v>91.130149522060094</v>
      </c>
      <c r="E26" s="22">
        <v>97.778813199908271</v>
      </c>
      <c r="F26" s="22">
        <v>103.66015230905403</v>
      </c>
      <c r="G26" s="22">
        <v>98.518453747702992</v>
      </c>
      <c r="H26" s="22">
        <v>91.865618801821796</v>
      </c>
      <c r="I26" s="22">
        <v>100.26809648532573</v>
      </c>
      <c r="J26" s="22">
        <v>101.89910143641821</v>
      </c>
      <c r="K26" s="22">
        <v>102.80463602418</v>
      </c>
      <c r="L26" s="22">
        <v>104.17930733237029</v>
      </c>
      <c r="M26" s="22">
        <v>105.55653341378483</v>
      </c>
      <c r="N26" s="22">
        <v>102.39940666311705</v>
      </c>
      <c r="O26" s="22">
        <v>108.43838659406507</v>
      </c>
      <c r="P26" s="22">
        <v>104.09849266201611</v>
      </c>
      <c r="Q26" s="22">
        <v>106.00495529202011</v>
      </c>
      <c r="R26" s="22">
        <v>104.42055917922733</v>
      </c>
      <c r="S26" s="22">
        <v>108.02204755041349</v>
      </c>
    </row>
    <row r="27" spans="1:19" s="11" customFormat="1" x14ac:dyDescent="0.25">
      <c r="A27" s="24" t="s">
        <v>236</v>
      </c>
      <c r="B27" s="25">
        <f>65+7.7150581746045</f>
        <v>72.715058174604494</v>
      </c>
      <c r="C27" s="25">
        <f>65+7.94652161967709</f>
        <v>72.946521619677085</v>
      </c>
      <c r="D27" s="25">
        <f>65+10.1256947106498</f>
        <v>75.125694710649796</v>
      </c>
      <c r="E27" s="25">
        <f>65+9.55527349437854</f>
        <v>74.55527349437854</v>
      </c>
      <c r="F27" s="25">
        <f>65+8.02631119911703</f>
        <v>73.026311199117032</v>
      </c>
      <c r="G27" s="25">
        <f>65+6.77123779775778</f>
        <v>71.771237797757777</v>
      </c>
      <c r="H27" s="25">
        <f>65+8.75050522421481</f>
        <v>73.750505224214805</v>
      </c>
      <c r="I27" s="25">
        <f>65+7.8065558662873</f>
        <v>72.806555866287297</v>
      </c>
      <c r="J27" s="25">
        <f>65+9.09222904638781</f>
        <v>74.092229046387814</v>
      </c>
      <c r="K27" s="25">
        <f>65+8.7580417837904</f>
        <v>73.758041783790404</v>
      </c>
      <c r="L27" s="25">
        <f>65+6.7904920287974</f>
        <v>71.790492028797402</v>
      </c>
      <c r="M27" s="25">
        <f>65+6.96314109200227</f>
        <v>71.963141092002274</v>
      </c>
      <c r="N27" s="25">
        <f>65+8.36195293246216</f>
        <v>73.36195293246216</v>
      </c>
      <c r="O27" s="25">
        <f>65+6.68079858267704</f>
        <v>71.680798582677042</v>
      </c>
      <c r="P27" s="25">
        <f>65+6.71143477000022</f>
        <v>71.711434770000224</v>
      </c>
      <c r="Q27" s="25">
        <f>65+7.28734134141595</f>
        <v>72.287341341415953</v>
      </c>
      <c r="R27" s="25">
        <f>65+7.43994189928456</f>
        <v>72.439941899284563</v>
      </c>
      <c r="S27" s="25">
        <f>65+9.10660856595122</f>
        <v>74.10660856595122</v>
      </c>
    </row>
    <row r="28" spans="1:19" s="11" customFormat="1" x14ac:dyDescent="0.25">
      <c r="A28" s="21" t="s">
        <v>237</v>
      </c>
      <c r="B28" s="22">
        <v>100</v>
      </c>
      <c r="C28" s="22">
        <v>100.61559479761142</v>
      </c>
      <c r="D28" s="22">
        <v>100.46358554186945</v>
      </c>
      <c r="E28" s="22">
        <v>105.59581992234037</v>
      </c>
      <c r="F28" s="22">
        <v>103.56159090949426</v>
      </c>
      <c r="G28" s="22">
        <v>99.8530892214429</v>
      </c>
      <c r="H28" s="22">
        <v>103.87936432591722</v>
      </c>
      <c r="I28" s="22">
        <v>103.04441580084629</v>
      </c>
      <c r="J28" s="22">
        <v>101.88866253259062</v>
      </c>
      <c r="K28" s="22">
        <v>108.65618008145634</v>
      </c>
      <c r="L28" s="22">
        <v>98.377759641892283</v>
      </c>
      <c r="M28" s="22">
        <v>96.38949245248827</v>
      </c>
      <c r="N28" s="22">
        <v>101.26659052560241</v>
      </c>
      <c r="O28" s="22">
        <v>98.044340885713723</v>
      </c>
      <c r="P28" s="22">
        <v>99.970930152595855</v>
      </c>
      <c r="Q28" s="22">
        <v>97.673979758617278</v>
      </c>
      <c r="R28" s="22">
        <v>99.996479599810826</v>
      </c>
      <c r="S28" s="22">
        <v>104.0852745156232</v>
      </c>
    </row>
    <row r="29" spans="1:19" s="11" customFormat="1" x14ac:dyDescent="0.25">
      <c r="A29" s="21" t="s">
        <v>238</v>
      </c>
      <c r="B29" s="22">
        <v>100</v>
      </c>
      <c r="C29" s="22">
        <v>98.084022844443894</v>
      </c>
      <c r="D29" s="22">
        <v>95.361477053122044</v>
      </c>
      <c r="E29" s="22">
        <v>102.81142644338878</v>
      </c>
      <c r="F29" s="22">
        <v>100.65973360505907</v>
      </c>
      <c r="G29" s="22">
        <v>98.646349790475412</v>
      </c>
      <c r="H29" s="22">
        <v>98.461220903376073</v>
      </c>
      <c r="I29" s="22">
        <v>97.421129083520398</v>
      </c>
      <c r="J29" s="22">
        <v>98.908484357989778</v>
      </c>
      <c r="K29" s="22">
        <v>94.512456572448215</v>
      </c>
      <c r="L29" s="22">
        <v>99.967486371856623</v>
      </c>
      <c r="M29" s="22">
        <v>91.878871255116863</v>
      </c>
      <c r="N29" s="22">
        <v>94.681381584344052</v>
      </c>
      <c r="O29" s="22">
        <v>98.154700751408015</v>
      </c>
      <c r="P29" s="22">
        <v>92.587107598372739</v>
      </c>
      <c r="Q29" s="22">
        <v>99.316962049003735</v>
      </c>
      <c r="R29" s="22">
        <v>100.44015800530499</v>
      </c>
      <c r="S29" s="22">
        <v>103.3370777520948</v>
      </c>
    </row>
    <row r="30" spans="1:19" s="11" customFormat="1" x14ac:dyDescent="0.25">
      <c r="A30" s="38" t="s">
        <v>239</v>
      </c>
      <c r="B30" s="25"/>
      <c r="C30" s="25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s="11" customFormat="1" x14ac:dyDescent="0.25">
      <c r="A31" s="39" t="s">
        <v>240</v>
      </c>
      <c r="B31" s="25">
        <v>7.4658701251157149</v>
      </c>
      <c r="C31" s="25">
        <v>7.5769766599708142</v>
      </c>
      <c r="D31" s="41" t="s">
        <v>18</v>
      </c>
      <c r="E31" s="25">
        <v>7.5570283933464433</v>
      </c>
      <c r="F31" s="41" t="s">
        <v>18</v>
      </c>
      <c r="G31" s="25">
        <v>7.8496845763576841</v>
      </c>
      <c r="H31" s="25">
        <v>7.7246845763576832</v>
      </c>
      <c r="I31" s="25">
        <v>7.2599385997572847</v>
      </c>
      <c r="J31" s="25">
        <v>7.4626544659247847</v>
      </c>
      <c r="K31" s="41" t="s">
        <v>18</v>
      </c>
      <c r="L31" s="25">
        <v>7.5678343147218872</v>
      </c>
      <c r="M31" s="25">
        <v>7.3913512430243511</v>
      </c>
      <c r="N31" s="25">
        <v>7.5098856868622414</v>
      </c>
      <c r="O31" s="25">
        <v>7.2444643295202509</v>
      </c>
      <c r="P31" s="25">
        <v>7.520224380540788</v>
      </c>
      <c r="Q31" s="25">
        <v>7.5526900231714418</v>
      </c>
      <c r="R31" s="25">
        <v>7.3199834968666098</v>
      </c>
      <c r="S31" s="25">
        <v>7.7366501635332785</v>
      </c>
    </row>
    <row r="32" spans="1:19" s="11" customFormat="1" x14ac:dyDescent="0.25">
      <c r="A32" s="38" t="s">
        <v>241</v>
      </c>
      <c r="B32" s="25"/>
      <c r="C32" s="25"/>
      <c r="D32" s="181"/>
      <c r="E32" s="25"/>
      <c r="F32" s="181"/>
      <c r="G32" s="25"/>
      <c r="H32" s="25"/>
      <c r="I32" s="25"/>
      <c r="J32" s="25"/>
      <c r="K32" s="181"/>
      <c r="L32" s="25"/>
      <c r="M32" s="25"/>
      <c r="N32" s="181"/>
      <c r="O32" s="25"/>
      <c r="P32" s="25"/>
      <c r="Q32" s="181"/>
      <c r="R32" s="181"/>
      <c r="S32" s="181"/>
    </row>
    <row r="33" spans="1:19" s="11" customFormat="1" x14ac:dyDescent="0.25">
      <c r="A33" s="39" t="s">
        <v>242</v>
      </c>
      <c r="B33" s="41">
        <v>5.8125050399999987</v>
      </c>
      <c r="C33" s="40">
        <v>5.6000000000000005</v>
      </c>
      <c r="D33" s="25">
        <v>8.8000000000000007</v>
      </c>
      <c r="E33" s="25">
        <v>5.3</v>
      </c>
      <c r="F33" s="25">
        <v>7.5</v>
      </c>
      <c r="G33" s="25">
        <v>5.6</v>
      </c>
      <c r="H33" s="25">
        <v>4.8</v>
      </c>
      <c r="I33" s="41">
        <v>6.3</v>
      </c>
      <c r="J33" s="25">
        <v>6.3</v>
      </c>
      <c r="K33" s="25">
        <v>6.6</v>
      </c>
      <c r="L33" s="25">
        <v>6.1</v>
      </c>
      <c r="M33" s="25">
        <v>5.0999999999999996</v>
      </c>
      <c r="N33" s="25">
        <v>6</v>
      </c>
      <c r="O33" s="25">
        <v>6.4</v>
      </c>
      <c r="P33" s="25">
        <v>7</v>
      </c>
      <c r="Q33" s="25">
        <v>5.6</v>
      </c>
      <c r="R33" s="25">
        <v>6.7</v>
      </c>
      <c r="S33" s="25">
        <v>6.2</v>
      </c>
    </row>
    <row r="34" spans="1:19" s="11" customFormat="1" x14ac:dyDescent="0.25">
      <c r="A34" s="39" t="s">
        <v>243</v>
      </c>
      <c r="B34" s="41">
        <v>5.3193624319999993</v>
      </c>
      <c r="C34" s="40">
        <v>5.1749999999999998</v>
      </c>
      <c r="D34" s="41">
        <v>5.6</v>
      </c>
      <c r="E34" s="25">
        <v>4.7</v>
      </c>
      <c r="F34" s="41">
        <v>3.8</v>
      </c>
      <c r="G34" s="25">
        <v>5.8</v>
      </c>
      <c r="H34" s="25">
        <v>5.0999999999999996</v>
      </c>
      <c r="I34" s="41">
        <v>5.3</v>
      </c>
      <c r="J34" s="41">
        <v>4.5999999999999996</v>
      </c>
      <c r="K34" s="41">
        <v>5.4</v>
      </c>
      <c r="L34" s="25">
        <v>5.3</v>
      </c>
      <c r="M34" s="25">
        <v>5.2</v>
      </c>
      <c r="N34" s="41">
        <v>5.0999999999999996</v>
      </c>
      <c r="O34" s="41">
        <v>5.3</v>
      </c>
      <c r="P34" s="25">
        <v>4.5999999999999996</v>
      </c>
      <c r="Q34" s="25">
        <v>5.6</v>
      </c>
      <c r="R34" s="41">
        <v>7.1</v>
      </c>
      <c r="S34" s="41">
        <v>7.1</v>
      </c>
    </row>
    <row r="35" spans="1:19" s="11" customFormat="1" x14ac:dyDescent="0.25">
      <c r="A35" s="39" t="s">
        <v>244</v>
      </c>
      <c r="B35" s="41">
        <v>6.6860034999999991</v>
      </c>
      <c r="C35" s="40">
        <v>6.9375</v>
      </c>
      <c r="D35" s="41" t="s">
        <v>18</v>
      </c>
      <c r="E35" s="25">
        <v>6.7</v>
      </c>
      <c r="F35" s="41" t="s">
        <v>18</v>
      </c>
      <c r="G35" s="25">
        <v>5.0999999999999996</v>
      </c>
      <c r="H35" s="25">
        <v>7.4</v>
      </c>
      <c r="I35" s="41">
        <v>6.3</v>
      </c>
      <c r="J35" s="41">
        <v>7.2</v>
      </c>
      <c r="K35" s="41" t="s">
        <v>18</v>
      </c>
      <c r="L35" s="25">
        <v>7.7</v>
      </c>
      <c r="M35" s="25">
        <v>5.7</v>
      </c>
      <c r="N35" s="41">
        <v>7.8</v>
      </c>
      <c r="O35" s="41">
        <v>6.1</v>
      </c>
      <c r="P35" s="25">
        <v>6.6</v>
      </c>
      <c r="Q35" s="25">
        <v>7.9</v>
      </c>
      <c r="R35" s="41" t="s">
        <v>287</v>
      </c>
      <c r="S35" s="41" t="s">
        <v>288</v>
      </c>
    </row>
    <row r="36" spans="1:19" s="11" customFormat="1" x14ac:dyDescent="0.25">
      <c r="A36" s="38" t="s">
        <v>245</v>
      </c>
      <c r="B36" s="41"/>
      <c r="C36" s="40"/>
      <c r="D36" s="41"/>
      <c r="E36" s="25"/>
      <c r="F36" s="41"/>
      <c r="G36" s="25"/>
      <c r="H36" s="25"/>
      <c r="I36" s="41"/>
      <c r="J36" s="41"/>
      <c r="K36" s="41"/>
      <c r="L36" s="25"/>
      <c r="M36" s="25"/>
      <c r="N36" s="41"/>
      <c r="O36" s="41"/>
      <c r="P36" s="25"/>
      <c r="Q36" s="25"/>
      <c r="R36" s="41"/>
      <c r="S36" s="41"/>
    </row>
    <row r="37" spans="1:19" s="11" customFormat="1" x14ac:dyDescent="0.25">
      <c r="A37" s="39" t="s">
        <v>246</v>
      </c>
      <c r="B37" s="43" t="s">
        <v>18</v>
      </c>
      <c r="C37" s="43" t="s">
        <v>18</v>
      </c>
      <c r="D37" s="43">
        <v>2026</v>
      </c>
      <c r="E37" s="43">
        <v>2018</v>
      </c>
      <c r="F37" s="43">
        <v>2025</v>
      </c>
      <c r="G37" s="43">
        <v>2014</v>
      </c>
      <c r="H37" s="43">
        <v>2014</v>
      </c>
      <c r="I37" s="43">
        <v>2023</v>
      </c>
      <c r="J37" s="43">
        <v>2016</v>
      </c>
      <c r="K37" s="43">
        <v>2026</v>
      </c>
      <c r="L37" s="20">
        <v>2008</v>
      </c>
      <c r="M37" s="43">
        <v>2014</v>
      </c>
      <c r="N37" s="43">
        <v>2016</v>
      </c>
      <c r="O37" s="43">
        <v>2022</v>
      </c>
      <c r="P37" s="43">
        <v>2018</v>
      </c>
      <c r="Q37" s="43">
        <v>2011</v>
      </c>
      <c r="R37" s="43">
        <v>2024</v>
      </c>
      <c r="S37" s="43">
        <v>2024</v>
      </c>
    </row>
    <row r="38" spans="1:19" s="11" customFormat="1" x14ac:dyDescent="0.2">
      <c r="A38" s="39" t="s">
        <v>247</v>
      </c>
      <c r="B38" s="43" t="s">
        <v>18</v>
      </c>
      <c r="C38" s="43" t="s">
        <v>18</v>
      </c>
      <c r="D38" s="54" t="s">
        <v>148</v>
      </c>
      <c r="E38" s="54" t="s">
        <v>148</v>
      </c>
      <c r="F38" s="54" t="s">
        <v>249</v>
      </c>
      <c r="G38" s="54" t="s">
        <v>156</v>
      </c>
      <c r="H38" s="54" t="s">
        <v>148</v>
      </c>
      <c r="I38" s="54" t="s">
        <v>159</v>
      </c>
      <c r="J38" s="54" t="s">
        <v>151</v>
      </c>
      <c r="K38" s="54" t="s">
        <v>148</v>
      </c>
      <c r="L38" s="54" t="s">
        <v>151</v>
      </c>
      <c r="M38" s="54" t="s">
        <v>151</v>
      </c>
      <c r="N38" s="54" t="s">
        <v>148</v>
      </c>
      <c r="O38" s="54" t="s">
        <v>156</v>
      </c>
      <c r="P38" s="54" t="s">
        <v>156</v>
      </c>
      <c r="Q38" s="54" t="s">
        <v>151</v>
      </c>
      <c r="R38" s="54" t="s">
        <v>156</v>
      </c>
      <c r="S38" s="54" t="s">
        <v>151</v>
      </c>
    </row>
    <row r="39" spans="1:19" s="11" customFormat="1" x14ac:dyDescent="0.2">
      <c r="A39" s="39" t="s">
        <v>248</v>
      </c>
      <c r="B39" s="43" t="s">
        <v>18</v>
      </c>
      <c r="C39" s="43" t="s">
        <v>18</v>
      </c>
      <c r="D39" s="54" t="s">
        <v>249</v>
      </c>
      <c r="E39" s="54" t="s">
        <v>249</v>
      </c>
      <c r="F39" s="54" t="s">
        <v>249</v>
      </c>
      <c r="G39" s="54" t="s">
        <v>156</v>
      </c>
      <c r="H39" s="54" t="s">
        <v>249</v>
      </c>
      <c r="I39" s="54" t="s">
        <v>159</v>
      </c>
      <c r="J39" s="54" t="s">
        <v>267</v>
      </c>
      <c r="K39" s="54" t="s">
        <v>249</v>
      </c>
      <c r="L39" s="54" t="s">
        <v>267</v>
      </c>
      <c r="M39" s="54" t="s">
        <v>267</v>
      </c>
      <c r="N39" s="54" t="s">
        <v>249</v>
      </c>
      <c r="O39" s="54" t="s">
        <v>289</v>
      </c>
      <c r="P39" s="54" t="s">
        <v>156</v>
      </c>
      <c r="Q39" s="54" t="s">
        <v>267</v>
      </c>
      <c r="R39" s="54" t="s">
        <v>156</v>
      </c>
      <c r="S39" s="54" t="s">
        <v>267</v>
      </c>
    </row>
    <row r="40" spans="1:19" s="11" customFormat="1" x14ac:dyDescent="0.25">
      <c r="A40" s="19" t="s">
        <v>250</v>
      </c>
      <c r="B40" s="43"/>
      <c r="C40" s="43"/>
      <c r="D40" s="20"/>
      <c r="E40" s="43"/>
      <c r="F40" s="20"/>
      <c r="G40" s="43"/>
      <c r="H40" s="43"/>
      <c r="I40" s="43"/>
      <c r="J40" s="43"/>
      <c r="K40" s="20"/>
      <c r="L40" s="43"/>
      <c r="M40" s="43"/>
      <c r="N40" s="20"/>
      <c r="O40" s="43"/>
      <c r="P40" s="20"/>
      <c r="Q40" s="20"/>
      <c r="R40" s="20"/>
      <c r="S40" s="20"/>
    </row>
    <row r="41" spans="1:19" s="11" customFormat="1" x14ac:dyDescent="0.25">
      <c r="A41" s="39" t="s">
        <v>251</v>
      </c>
      <c r="B41" s="43" t="s">
        <v>18</v>
      </c>
      <c r="C41" s="43" t="s">
        <v>18</v>
      </c>
      <c r="D41" s="20">
        <v>5</v>
      </c>
      <c r="E41" s="43">
        <v>20</v>
      </c>
      <c r="F41" s="20">
        <v>5</v>
      </c>
      <c r="G41" s="43">
        <v>13</v>
      </c>
      <c r="H41" s="43">
        <v>13</v>
      </c>
      <c r="I41" s="43">
        <v>12</v>
      </c>
      <c r="J41" s="43">
        <v>13</v>
      </c>
      <c r="K41" s="20">
        <v>5</v>
      </c>
      <c r="L41" s="43">
        <v>28</v>
      </c>
      <c r="M41" s="43">
        <v>13</v>
      </c>
      <c r="N41" s="20">
        <v>13</v>
      </c>
      <c r="O41" s="43">
        <v>13</v>
      </c>
      <c r="P41" s="30">
        <v>11</v>
      </c>
      <c r="Q41" s="43">
        <v>11</v>
      </c>
      <c r="R41" s="20">
        <v>9</v>
      </c>
      <c r="S41" s="20">
        <v>9</v>
      </c>
    </row>
    <row r="42" spans="1:19" s="11" customFormat="1" x14ac:dyDescent="0.25">
      <c r="A42" s="39" t="s">
        <v>252</v>
      </c>
      <c r="B42" s="43" t="s">
        <v>18</v>
      </c>
      <c r="C42" s="43" t="s">
        <v>18</v>
      </c>
      <c r="D42" s="20">
        <v>5</v>
      </c>
      <c r="E42" s="20">
        <v>17</v>
      </c>
      <c r="F42" s="20">
        <v>5</v>
      </c>
      <c r="G42" s="20">
        <v>12</v>
      </c>
      <c r="H42" s="20">
        <v>12</v>
      </c>
      <c r="I42" s="20">
        <v>9</v>
      </c>
      <c r="J42" s="20">
        <v>12</v>
      </c>
      <c r="K42" s="20">
        <v>5</v>
      </c>
      <c r="L42" s="20">
        <v>25</v>
      </c>
      <c r="M42" s="20">
        <v>12</v>
      </c>
      <c r="N42" s="20">
        <v>12</v>
      </c>
      <c r="O42" s="20">
        <v>12</v>
      </c>
      <c r="P42" s="20">
        <v>10</v>
      </c>
      <c r="Q42" s="20">
        <v>10</v>
      </c>
      <c r="R42" s="20">
        <v>6</v>
      </c>
      <c r="S42" s="20">
        <v>6</v>
      </c>
    </row>
    <row r="43" spans="1:19" s="11" customFormat="1" x14ac:dyDescent="0.25">
      <c r="A43" s="39" t="s">
        <v>253</v>
      </c>
      <c r="B43" s="43" t="s">
        <v>18</v>
      </c>
      <c r="C43" s="43" t="s">
        <v>18</v>
      </c>
      <c r="D43" s="20">
        <v>5</v>
      </c>
      <c r="E43" s="20">
        <v>16</v>
      </c>
      <c r="F43" s="20">
        <v>5</v>
      </c>
      <c r="G43" s="20">
        <v>11</v>
      </c>
      <c r="H43" s="20">
        <v>11</v>
      </c>
      <c r="I43" s="20">
        <v>6</v>
      </c>
      <c r="J43" s="20">
        <v>11</v>
      </c>
      <c r="K43" s="20">
        <v>5</v>
      </c>
      <c r="L43" s="20">
        <v>23</v>
      </c>
      <c r="M43" s="20">
        <v>11</v>
      </c>
      <c r="N43" s="20">
        <v>11</v>
      </c>
      <c r="O43" s="20">
        <v>9</v>
      </c>
      <c r="P43" s="20">
        <v>11</v>
      </c>
      <c r="Q43" s="20">
        <v>10</v>
      </c>
      <c r="R43" s="20">
        <v>6</v>
      </c>
      <c r="S43" s="20">
        <v>6</v>
      </c>
    </row>
    <row r="44" spans="1:19" x14ac:dyDescent="0.25">
      <c r="A44" s="55" t="s">
        <v>254</v>
      </c>
      <c r="B44" s="70"/>
      <c r="C44" s="70"/>
      <c r="D44" s="70"/>
      <c r="E44" s="57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</row>
    <row r="45" spans="1:19" x14ac:dyDescent="0.25">
      <c r="A45" s="56" t="s">
        <v>255</v>
      </c>
      <c r="B45" s="67"/>
      <c r="C45" s="67"/>
      <c r="D45" s="71"/>
      <c r="E45" s="70"/>
      <c r="F45" s="71"/>
      <c r="G45" s="70"/>
      <c r="H45" s="70"/>
      <c r="I45" s="70"/>
      <c r="J45" s="70"/>
      <c r="K45" s="71"/>
      <c r="L45" s="55"/>
      <c r="M45" s="70"/>
      <c r="N45" s="71"/>
      <c r="O45" s="70"/>
      <c r="P45" s="55"/>
      <c r="Q45" s="72"/>
      <c r="R45" s="71"/>
      <c r="S45" s="71"/>
    </row>
    <row r="46" spans="1:19" x14ac:dyDescent="0.25">
      <c r="A46" s="56" t="s">
        <v>256</v>
      </c>
      <c r="B46" s="67"/>
      <c r="C46" s="67"/>
      <c r="D46" s="71"/>
      <c r="E46" s="70"/>
      <c r="F46" s="71"/>
      <c r="G46" s="70"/>
      <c r="H46" s="70"/>
      <c r="I46" s="70"/>
      <c r="J46" s="70"/>
      <c r="K46" s="71"/>
      <c r="L46" s="55"/>
      <c r="M46" s="70"/>
      <c r="N46" s="71"/>
      <c r="O46" s="70"/>
      <c r="P46" s="55"/>
      <c r="Q46" s="72"/>
      <c r="R46" s="71"/>
      <c r="S46" s="71"/>
    </row>
    <row r="47" spans="1:19" x14ac:dyDescent="0.25">
      <c r="A47" s="56" t="s">
        <v>257</v>
      </c>
      <c r="B47" s="67"/>
      <c r="C47" s="67"/>
      <c r="D47" s="71"/>
      <c r="E47" s="70"/>
      <c r="F47" s="71"/>
      <c r="G47" s="70"/>
      <c r="H47" s="70"/>
      <c r="I47" s="70"/>
      <c r="J47" s="70"/>
      <c r="K47" s="71"/>
      <c r="L47" s="55"/>
      <c r="M47" s="70"/>
      <c r="N47" s="71"/>
      <c r="O47" s="70"/>
      <c r="P47" s="55"/>
      <c r="Q47" s="72"/>
      <c r="R47" s="71"/>
      <c r="S47" s="71"/>
    </row>
    <row r="48" spans="1:19" x14ac:dyDescent="0.25">
      <c r="A48" s="55" t="s">
        <v>258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</row>
    <row r="49" spans="1:19" x14ac:dyDescent="0.25">
      <c r="A49" s="57" t="s">
        <v>259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777A0-0A0C-48B8-B043-FDC620460EAF}">
  <dimension ref="A1:U69"/>
  <sheetViews>
    <sheetView workbookViewId="0"/>
  </sheetViews>
  <sheetFormatPr defaultColWidth="9.28515625" defaultRowHeight="15" x14ac:dyDescent="0.25"/>
  <cols>
    <col min="1" max="1" width="144.140625" bestFit="1" customWidth="1"/>
    <col min="2" max="2" width="23.7109375" style="73" bestFit="1" customWidth="1"/>
    <col min="3" max="3" width="31.42578125" style="73" bestFit="1" customWidth="1"/>
    <col min="4" max="4" width="10" style="73" bestFit="1" customWidth="1"/>
    <col min="5" max="5" width="10.140625" style="73" bestFit="1" customWidth="1"/>
    <col min="6" max="6" width="12.28515625" style="73" bestFit="1" customWidth="1"/>
    <col min="7" max="7" width="12.5703125" style="73" bestFit="1" customWidth="1"/>
    <col min="8" max="8" width="10.140625" style="73" bestFit="1" customWidth="1"/>
    <col min="9" max="9" width="13.85546875" style="73" bestFit="1" customWidth="1"/>
    <col min="10" max="10" width="24.5703125" style="73" bestFit="1" customWidth="1"/>
    <col min="11" max="11" width="14.85546875" style="73" bestFit="1" customWidth="1"/>
    <col min="12" max="12" width="9.42578125" style="73" bestFit="1" customWidth="1"/>
    <col min="13" max="13" width="11" style="73" bestFit="1" customWidth="1"/>
    <col min="14" max="14" width="14" style="73" bestFit="1" customWidth="1"/>
    <col min="15" max="15" width="9.5703125" style="73" bestFit="1" customWidth="1"/>
    <col min="16" max="16" width="12.140625" style="73" bestFit="1" customWidth="1"/>
    <col min="17" max="17" width="10.140625" style="73" bestFit="1" customWidth="1"/>
    <col min="18" max="18" width="10.7109375" style="73" bestFit="1" customWidth="1"/>
    <col min="19" max="19" width="15.140625" style="73" bestFit="1" customWidth="1"/>
    <col min="20" max="20" width="3.28515625" customWidth="1"/>
  </cols>
  <sheetData>
    <row r="1" spans="1:19" x14ac:dyDescent="0.25">
      <c r="A1" s="59" t="s">
        <v>183</v>
      </c>
      <c r="B1" s="60"/>
      <c r="C1" s="60"/>
      <c r="D1" s="61"/>
      <c r="E1" s="61"/>
      <c r="F1" s="61"/>
      <c r="G1" s="62"/>
      <c r="H1" s="61"/>
      <c r="I1" s="61"/>
      <c r="J1" s="61"/>
      <c r="K1" s="62"/>
      <c r="L1" s="61"/>
      <c r="M1" s="61"/>
      <c r="N1" s="62"/>
      <c r="O1" s="61"/>
      <c r="P1" s="62"/>
      <c r="Q1" s="62"/>
    </row>
    <row r="2" spans="1:19" x14ac:dyDescent="0.25">
      <c r="A2" s="59"/>
      <c r="B2" s="60"/>
      <c r="C2" s="60"/>
      <c r="D2" s="61"/>
      <c r="E2" s="61"/>
      <c r="F2" s="61"/>
      <c r="G2" s="62"/>
      <c r="H2" s="61"/>
      <c r="I2" s="61"/>
      <c r="J2" s="62"/>
      <c r="K2" s="62"/>
      <c r="L2" s="62"/>
      <c r="M2" s="61"/>
      <c r="N2" s="62"/>
      <c r="O2" s="61"/>
      <c r="P2" s="62"/>
      <c r="Q2" s="62"/>
    </row>
    <row r="3" spans="1:19" s="75" customFormat="1" x14ac:dyDescent="0.25">
      <c r="A3" s="74" t="s">
        <v>183</v>
      </c>
      <c r="B3" s="74" t="s">
        <v>208</v>
      </c>
      <c r="C3" s="74" t="s">
        <v>290</v>
      </c>
      <c r="D3" s="74" t="s">
        <v>291</v>
      </c>
      <c r="E3" s="74" t="s">
        <v>292</v>
      </c>
      <c r="F3" s="74" t="s">
        <v>293</v>
      </c>
      <c r="G3" s="74" t="s">
        <v>294</v>
      </c>
      <c r="H3" s="74" t="s">
        <v>295</v>
      </c>
      <c r="I3" s="74" t="s">
        <v>296</v>
      </c>
      <c r="J3" s="74" t="s">
        <v>297</v>
      </c>
      <c r="K3" s="74" t="s">
        <v>298</v>
      </c>
      <c r="L3" s="74" t="s">
        <v>299</v>
      </c>
      <c r="M3" s="74" t="s">
        <v>300</v>
      </c>
      <c r="N3" s="74" t="s">
        <v>301</v>
      </c>
      <c r="O3" s="74" t="s">
        <v>302</v>
      </c>
      <c r="P3" s="74" t="s">
        <v>303</v>
      </c>
      <c r="Q3" s="74" t="s">
        <v>304</v>
      </c>
      <c r="R3" s="74" t="s">
        <v>305</v>
      </c>
      <c r="S3" s="74" t="s">
        <v>306</v>
      </c>
    </row>
    <row r="4" spans="1:19" x14ac:dyDescent="0.25">
      <c r="A4" s="14" t="s">
        <v>213</v>
      </c>
      <c r="B4" s="42" t="s">
        <v>18</v>
      </c>
      <c r="C4" s="42" t="s">
        <v>18</v>
      </c>
      <c r="D4" s="16" t="s">
        <v>9</v>
      </c>
      <c r="E4" s="16" t="s">
        <v>6</v>
      </c>
      <c r="F4" s="16" t="s">
        <v>12</v>
      </c>
      <c r="G4" s="16" t="s">
        <v>12</v>
      </c>
      <c r="H4" s="16" t="s">
        <v>6</v>
      </c>
      <c r="I4" s="16" t="s">
        <v>12</v>
      </c>
      <c r="J4" s="16" t="s">
        <v>9</v>
      </c>
      <c r="K4" s="16" t="s">
        <v>15</v>
      </c>
      <c r="L4" s="16" t="s">
        <v>6</v>
      </c>
      <c r="M4" s="16" t="s">
        <v>12</v>
      </c>
      <c r="N4" s="16" t="s">
        <v>12</v>
      </c>
      <c r="O4" s="16" t="s">
        <v>15</v>
      </c>
      <c r="P4" s="16" t="s">
        <v>6</v>
      </c>
      <c r="Q4" s="16" t="s">
        <v>12</v>
      </c>
      <c r="R4" s="16" t="s">
        <v>9</v>
      </c>
      <c r="S4" s="16" t="s">
        <v>9</v>
      </c>
    </row>
    <row r="5" spans="1:19" s="11" customFormat="1" x14ac:dyDescent="0.25">
      <c r="A5" s="17" t="s">
        <v>214</v>
      </c>
      <c r="B5" s="42" t="s">
        <v>18</v>
      </c>
      <c r="C5" s="42" t="s">
        <v>18</v>
      </c>
      <c r="D5" s="18">
        <v>139.67099999999999</v>
      </c>
      <c r="E5" s="18">
        <v>141.35300000000001</v>
      </c>
      <c r="F5" s="18">
        <v>142.10899999999998</v>
      </c>
      <c r="G5" s="18">
        <v>142.63</v>
      </c>
      <c r="H5" s="18">
        <v>142.73399999999998</v>
      </c>
      <c r="I5" s="18">
        <v>143.22</v>
      </c>
      <c r="J5" s="18">
        <v>143.6</v>
      </c>
      <c r="K5" s="18">
        <v>144.10899999999998</v>
      </c>
      <c r="L5" s="18">
        <v>144.703</v>
      </c>
      <c r="M5" s="18">
        <v>146.221</v>
      </c>
      <c r="N5" s="18">
        <v>146.70999999999998</v>
      </c>
      <c r="O5" s="18">
        <v>147.87299999999999</v>
      </c>
      <c r="P5" s="18">
        <v>148.33799999999999</v>
      </c>
      <c r="Q5" s="18">
        <v>148.416</v>
      </c>
      <c r="R5" s="18">
        <v>149.49099999999999</v>
      </c>
      <c r="S5" s="18">
        <v>150.45600000000002</v>
      </c>
    </row>
    <row r="6" spans="1:19" s="11" customFormat="1" x14ac:dyDescent="0.2">
      <c r="A6" s="19" t="s">
        <v>215</v>
      </c>
      <c r="B6" s="20"/>
      <c r="C6" s="20"/>
      <c r="D6" s="76"/>
      <c r="E6" s="76"/>
      <c r="F6" s="76"/>
      <c r="G6" s="76"/>
      <c r="H6" s="76"/>
      <c r="I6" s="67"/>
      <c r="J6" s="76"/>
      <c r="K6" s="76"/>
      <c r="L6" s="76"/>
      <c r="M6" s="67"/>
      <c r="N6" s="76"/>
      <c r="O6" s="67"/>
      <c r="P6" s="76"/>
      <c r="Q6" s="76"/>
      <c r="R6" s="76"/>
      <c r="S6" s="76"/>
    </row>
    <row r="7" spans="1:19" s="11" customFormat="1" x14ac:dyDescent="0.25">
      <c r="A7" s="21" t="s">
        <v>216</v>
      </c>
      <c r="B7" s="22">
        <v>100</v>
      </c>
      <c r="C7" s="22">
        <v>99.9645323767853</v>
      </c>
      <c r="D7" s="22">
        <v>100.44221518946658</v>
      </c>
      <c r="E7" s="22">
        <v>98.750291146183585</v>
      </c>
      <c r="F7" s="22">
        <v>102.49801663139152</v>
      </c>
      <c r="G7" s="22">
        <v>100.19938987554666</v>
      </c>
      <c r="H7" s="22">
        <v>99.51264869355623</v>
      </c>
      <c r="I7" s="22">
        <v>102.69583383274919</v>
      </c>
      <c r="J7" s="22">
        <v>99.192711909156515</v>
      </c>
      <c r="K7" s="22">
        <v>106.0252209344772</v>
      </c>
      <c r="L7" s="22">
        <v>103.23036963071034</v>
      </c>
      <c r="M7" s="22">
        <v>109.96589251163243</v>
      </c>
      <c r="N7" s="22">
        <v>99.930667848095212</v>
      </c>
      <c r="O7" s="22">
        <v>102.70899608620205</v>
      </c>
      <c r="P7" s="22">
        <v>105.0867876103276</v>
      </c>
      <c r="Q7" s="22">
        <v>97.908220044922984</v>
      </c>
      <c r="R7" s="22">
        <v>101.08722865474738</v>
      </c>
      <c r="S7" s="22">
        <v>94.908022966430323</v>
      </c>
    </row>
    <row r="8" spans="1:19" s="11" customFormat="1" x14ac:dyDescent="0.25">
      <c r="A8" s="24" t="s">
        <v>217</v>
      </c>
      <c r="B8" s="25">
        <f>65+11.8875479735432</f>
        <v>76.887547973543207</v>
      </c>
      <c r="C8" s="25">
        <f>65+12.1704850141154</f>
        <v>77.1704850141154</v>
      </c>
      <c r="D8" s="25">
        <f>65+11.0716838445069</f>
        <v>76.071683844506907</v>
      </c>
      <c r="E8" s="25">
        <f>65+11.876781240781</f>
        <v>76.876781240781</v>
      </c>
      <c r="F8" s="25">
        <f>65+11.7116666458907</f>
        <v>76.711666645890702</v>
      </c>
      <c r="G8" s="25">
        <f>65+11.6229583222836</f>
        <v>76.622958322283594</v>
      </c>
      <c r="H8" s="25">
        <f>65+11.5851763913736</f>
        <v>76.585176391373608</v>
      </c>
      <c r="I8" s="25">
        <f>65+11.1061095523285</f>
        <v>76.106109552328505</v>
      </c>
      <c r="J8" s="25">
        <f>65+13.0416483751891</f>
        <v>78.041648375189098</v>
      </c>
      <c r="K8" s="25">
        <f>65+10.1709527312089</f>
        <v>75.170952731208899</v>
      </c>
      <c r="L8" s="25">
        <f>65+10.7179247540582</f>
        <v>75.717924754058203</v>
      </c>
      <c r="M8" s="25">
        <f>65+11.6340142423222</f>
        <v>76.634014242322195</v>
      </c>
      <c r="N8" s="25">
        <f>65+11.7187665351743</f>
        <v>76.718766535174296</v>
      </c>
      <c r="O8" s="25">
        <f>65+11.8518173011351</f>
        <v>76.8518173011351</v>
      </c>
      <c r="P8" s="25">
        <f>65+13.6152443804251</f>
        <v>78.615244380425096</v>
      </c>
      <c r="Q8" s="25">
        <f>65+10.9711733154254</f>
        <v>75.971173315425403</v>
      </c>
      <c r="R8" s="25">
        <f>65+12.084768905632</f>
        <v>77.084768905632004</v>
      </c>
      <c r="S8" s="25">
        <f>65+12.7892553219737</f>
        <v>77.789255321973698</v>
      </c>
    </row>
    <row r="9" spans="1:19" s="77" customFormat="1" x14ac:dyDescent="0.25">
      <c r="A9" s="26" t="s">
        <v>218</v>
      </c>
      <c r="B9" s="27">
        <v>100</v>
      </c>
      <c r="C9" s="27">
        <v>100.17684865560179</v>
      </c>
      <c r="D9" s="27">
        <v>99.597630851920158</v>
      </c>
      <c r="E9" s="27">
        <v>98.479502981821156</v>
      </c>
      <c r="F9" s="27">
        <v>102.11533881363872</v>
      </c>
      <c r="G9" s="27">
        <v>99.767654614672978</v>
      </c>
      <c r="H9" s="27">
        <v>98.764629646315583</v>
      </c>
      <c r="I9" s="27">
        <v>101.59501930133177</v>
      </c>
      <c r="J9" s="27">
        <v>100.55896507563025</v>
      </c>
      <c r="K9" s="27">
        <v>103.85483939111833</v>
      </c>
      <c r="L9" s="27">
        <v>101.41896991213639</v>
      </c>
      <c r="M9" s="27">
        <v>109.62306360240333</v>
      </c>
      <c r="N9" s="27">
        <v>99.751780617965125</v>
      </c>
      <c r="O9" s="27">
        <v>102.62930299257293</v>
      </c>
      <c r="P9" s="27">
        <v>107.15305706745588</v>
      </c>
      <c r="Q9" s="27">
        <v>96.869217621604292</v>
      </c>
      <c r="R9" s="27">
        <v>101.24928088973242</v>
      </c>
      <c r="S9" s="27">
        <v>95.816990496365463</v>
      </c>
    </row>
    <row r="10" spans="1:19" s="11" customFormat="1" x14ac:dyDescent="0.25">
      <c r="A10" s="21" t="s">
        <v>219</v>
      </c>
      <c r="B10" s="22">
        <v>70.831613448245761</v>
      </c>
      <c r="C10" s="22">
        <v>65.94163914926466</v>
      </c>
      <c r="D10" s="22">
        <v>62.062475164006315</v>
      </c>
      <c r="E10" s="22">
        <v>67.539585290310669</v>
      </c>
      <c r="F10" s="22">
        <v>64.23555957894591</v>
      </c>
      <c r="G10" s="22">
        <v>66.71143565209276</v>
      </c>
      <c r="H10" s="22">
        <v>68.816822063131312</v>
      </c>
      <c r="I10" s="22">
        <v>61.916293442017107</v>
      </c>
      <c r="J10" s="22">
        <v>62.175982734729565</v>
      </c>
      <c r="K10" s="22">
        <v>60.644403809524455</v>
      </c>
      <c r="L10" s="22">
        <v>71.371455494063213</v>
      </c>
      <c r="M10" s="22">
        <v>64.689028976815564</v>
      </c>
      <c r="N10" s="22">
        <v>67.260773709544821</v>
      </c>
      <c r="O10" s="22">
        <v>68.301318737333702</v>
      </c>
      <c r="P10" s="22">
        <v>68.300723643595603</v>
      </c>
      <c r="Q10" s="22">
        <v>67.883532258151902</v>
      </c>
      <c r="R10" s="22">
        <v>63.212084989546064</v>
      </c>
      <c r="S10" s="22">
        <v>65.718143744997974</v>
      </c>
    </row>
    <row r="11" spans="1:19" s="11" customFormat="1" x14ac:dyDescent="0.25">
      <c r="A11" s="19" t="s">
        <v>220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pans="1:19" s="11" customFormat="1" x14ac:dyDescent="0.25">
      <c r="A12" s="21" t="s">
        <v>221</v>
      </c>
      <c r="B12" s="22">
        <v>100</v>
      </c>
      <c r="C12" s="22">
        <v>100.16708114838892</v>
      </c>
      <c r="D12" s="22">
        <v>103.62420973632283</v>
      </c>
      <c r="E12" s="22">
        <v>102.87879255480462</v>
      </c>
      <c r="F12" s="22">
        <v>99.697339919755748</v>
      </c>
      <c r="G12" s="22">
        <v>104.27525729036047</v>
      </c>
      <c r="H12" s="22">
        <v>97.81263982750761</v>
      </c>
      <c r="I12" s="22">
        <v>105.08893173690731</v>
      </c>
      <c r="J12" s="22">
        <v>100.02175600013825</v>
      </c>
      <c r="K12" s="22">
        <v>104.12936937923369</v>
      </c>
      <c r="L12" s="22">
        <v>99.770205201499223</v>
      </c>
      <c r="M12" s="22">
        <v>107.34210037248263</v>
      </c>
      <c r="N12" s="22">
        <v>100.74915636188832</v>
      </c>
      <c r="O12" s="22">
        <v>103.48037193738534</v>
      </c>
      <c r="P12" s="22">
        <v>102.12841566539191</v>
      </c>
      <c r="Q12" s="22">
        <v>100.03304865075077</v>
      </c>
      <c r="R12" s="22">
        <v>98.448685224053804</v>
      </c>
      <c r="S12" s="22">
        <v>96.109743882252772</v>
      </c>
    </row>
    <row r="13" spans="1:19" s="11" customFormat="1" x14ac:dyDescent="0.25">
      <c r="A13" s="28" t="s">
        <v>222</v>
      </c>
      <c r="B13" s="27">
        <v>100</v>
      </c>
      <c r="C13" s="27">
        <v>101.03876758399366</v>
      </c>
      <c r="D13" s="27">
        <v>102.84297599944712</v>
      </c>
      <c r="E13" s="27">
        <v>104.23628374241548</v>
      </c>
      <c r="F13" s="27">
        <v>99.375821401276312</v>
      </c>
      <c r="G13" s="27">
        <v>105.23870744913246</v>
      </c>
      <c r="H13" s="27">
        <v>99.004310040195563</v>
      </c>
      <c r="I13" s="27">
        <v>107.33573422266844</v>
      </c>
      <c r="J13" s="27">
        <v>102.72746376848021</v>
      </c>
      <c r="K13" s="27">
        <v>100.94255098656488</v>
      </c>
      <c r="L13" s="27">
        <v>99.386885235310146</v>
      </c>
      <c r="M13" s="27">
        <v>105.33875313004995</v>
      </c>
      <c r="N13" s="27">
        <v>103.17158760616832</v>
      </c>
      <c r="O13" s="27">
        <v>105.00312013370387</v>
      </c>
      <c r="P13" s="27">
        <v>101.34574506242885</v>
      </c>
      <c r="Q13" s="27">
        <v>100.4082250505533</v>
      </c>
      <c r="R13" s="27">
        <v>98.691745567638378</v>
      </c>
      <c r="S13" s="27">
        <v>100.11154509183665</v>
      </c>
    </row>
    <row r="14" spans="1:19" s="11" customFormat="1" x14ac:dyDescent="0.25">
      <c r="A14" s="21" t="s">
        <v>223</v>
      </c>
      <c r="B14" s="22">
        <v>100</v>
      </c>
      <c r="C14" s="22">
        <v>100.79477270264039</v>
      </c>
      <c r="D14" s="22">
        <v>105.27351278522418</v>
      </c>
      <c r="E14" s="22">
        <v>104.05568636235849</v>
      </c>
      <c r="F14" s="22">
        <v>103.2339170775717</v>
      </c>
      <c r="G14" s="22">
        <v>105.15841338502578</v>
      </c>
      <c r="H14" s="22">
        <v>101.91509063472719</v>
      </c>
      <c r="I14" s="22">
        <v>104.6209029504674</v>
      </c>
      <c r="J14" s="22">
        <v>100.91395503322556</v>
      </c>
      <c r="K14" s="22">
        <v>108.1187999311522</v>
      </c>
      <c r="L14" s="22">
        <v>102.55527962688417</v>
      </c>
      <c r="M14" s="22">
        <v>104.80975054703408</v>
      </c>
      <c r="N14" s="22">
        <v>100.50897946810721</v>
      </c>
      <c r="O14" s="22">
        <v>106.03531982553528</v>
      </c>
      <c r="P14" s="27">
        <v>100.97625808515534</v>
      </c>
      <c r="Q14" s="27">
        <v>98.869681555690093</v>
      </c>
      <c r="R14" s="22">
        <v>100.31496439809104</v>
      </c>
      <c r="S14" s="22">
        <v>92.233123950286029</v>
      </c>
    </row>
    <row r="15" spans="1:19" s="11" customFormat="1" x14ac:dyDescent="0.25">
      <c r="A15" s="24" t="s">
        <v>224</v>
      </c>
      <c r="B15" s="22">
        <v>100</v>
      </c>
      <c r="C15" s="30">
        <v>100.46266076900797</v>
      </c>
      <c r="D15" s="22">
        <v>104.38014030040262</v>
      </c>
      <c r="E15" s="22">
        <v>103.38317561518484</v>
      </c>
      <c r="F15" s="22">
        <v>101.14412148431683</v>
      </c>
      <c r="G15" s="22">
        <v>104.56964265524891</v>
      </c>
      <c r="H15" s="22">
        <v>99.863865231117401</v>
      </c>
      <c r="I15" s="22">
        <v>104.85491734368733</v>
      </c>
      <c r="J15" s="22">
        <v>100.43068055696995</v>
      </c>
      <c r="K15" s="22">
        <v>106.12408465519293</v>
      </c>
      <c r="L15" s="22">
        <v>101.04669764646734</v>
      </c>
      <c r="M15" s="22">
        <v>106.07592545975835</v>
      </c>
      <c r="N15" s="22">
        <v>100.63998504653327</v>
      </c>
      <c r="O15" s="22">
        <v>104.7578458814603</v>
      </c>
      <c r="P15" s="22">
        <v>101.55233687527362</v>
      </c>
      <c r="Q15" s="22">
        <v>99.504245425723184</v>
      </c>
      <c r="R15" s="22">
        <v>99.332712201229327</v>
      </c>
      <c r="S15" s="22">
        <v>94.263734390840042</v>
      </c>
    </row>
    <row r="16" spans="1:19" s="11" customFormat="1" x14ac:dyDescent="0.25">
      <c r="A16" s="21" t="s">
        <v>225</v>
      </c>
      <c r="B16" s="22">
        <v>66.243111205308352</v>
      </c>
      <c r="C16" s="22">
        <v>60.592692244536451</v>
      </c>
      <c r="D16" s="30">
        <v>59.634381872361367</v>
      </c>
      <c r="E16" s="30">
        <v>62.440520404695398</v>
      </c>
      <c r="F16" s="30">
        <v>58.846882642061203</v>
      </c>
      <c r="G16" s="30">
        <v>62.79226756978521</v>
      </c>
      <c r="H16" s="30">
        <v>64.945064331353123</v>
      </c>
      <c r="I16" s="22">
        <v>55.733687347160725</v>
      </c>
      <c r="J16" s="30">
        <v>59.326522534038389</v>
      </c>
      <c r="K16" s="30">
        <v>53.08137860900564</v>
      </c>
      <c r="L16" s="30">
        <v>65.031336647609436</v>
      </c>
      <c r="M16" s="22">
        <v>57.278778660015362</v>
      </c>
      <c r="N16" s="30">
        <v>63.478417288665455</v>
      </c>
      <c r="O16" s="22">
        <v>67.351415423431121</v>
      </c>
      <c r="P16" s="30">
        <v>61.501330317765955</v>
      </c>
      <c r="Q16" s="30">
        <v>60.311896634936495</v>
      </c>
      <c r="R16" s="22">
        <v>58.946088640453972</v>
      </c>
      <c r="S16" s="22">
        <v>56.088767900588934</v>
      </c>
    </row>
    <row r="17" spans="1:21" s="11" customFormat="1" x14ac:dyDescent="0.25">
      <c r="A17" s="19" t="s">
        <v>226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</row>
    <row r="18" spans="1:21" s="11" customFormat="1" x14ac:dyDescent="0.25">
      <c r="A18" s="21" t="s">
        <v>227</v>
      </c>
      <c r="B18" s="22">
        <v>100</v>
      </c>
      <c r="C18" s="22">
        <v>99.909796176087951</v>
      </c>
      <c r="D18" s="22">
        <v>103.08325925704628</v>
      </c>
      <c r="E18" s="22">
        <v>104.04227657547514</v>
      </c>
      <c r="F18" s="22">
        <v>106.54047864269496</v>
      </c>
      <c r="G18" s="22">
        <v>107.50366757788925</v>
      </c>
      <c r="H18" s="22">
        <v>102.2606027041105</v>
      </c>
      <c r="I18" s="22">
        <v>112.82958382200624</v>
      </c>
      <c r="J18" s="22">
        <v>95.636684903629202</v>
      </c>
      <c r="K18" s="22">
        <v>125.33835381419796</v>
      </c>
      <c r="L18" s="22">
        <v>97.854832994638087</v>
      </c>
      <c r="M18" s="22">
        <v>114.82359778390851</v>
      </c>
      <c r="N18" s="22">
        <v>98.233676747850126</v>
      </c>
      <c r="O18" s="22">
        <v>92.787052146852659</v>
      </c>
      <c r="P18" s="22">
        <v>110.16638963416565</v>
      </c>
      <c r="Q18" s="22">
        <v>92.302356289302253</v>
      </c>
      <c r="R18" s="22">
        <v>90.542952382954311</v>
      </c>
      <c r="S18" s="22">
        <v>89.363296502775867</v>
      </c>
    </row>
    <row r="19" spans="1:21" s="11" customFormat="1" x14ac:dyDescent="0.25">
      <c r="A19" s="21" t="s">
        <v>228</v>
      </c>
      <c r="B19" s="22">
        <v>100</v>
      </c>
      <c r="C19" s="22">
        <v>100.43874766033476</v>
      </c>
      <c r="D19" s="22">
        <v>103.69096634415314</v>
      </c>
      <c r="E19" s="22">
        <v>103.59392089457538</v>
      </c>
      <c r="F19" s="22">
        <v>104.00863089120733</v>
      </c>
      <c r="G19" s="22">
        <v>104.85286008290343</v>
      </c>
      <c r="H19" s="22">
        <v>101.70343308110718</v>
      </c>
      <c r="I19" s="22">
        <v>105.54844014463559</v>
      </c>
      <c r="J19" s="22">
        <v>100.7162876696742</v>
      </c>
      <c r="K19" s="22">
        <v>113.10723684958064</v>
      </c>
      <c r="L19" s="22">
        <v>104.54463928142523</v>
      </c>
      <c r="M19" s="22">
        <v>110.07265237394769</v>
      </c>
      <c r="N19" s="22">
        <v>100.92013203434583</v>
      </c>
      <c r="O19" s="22">
        <v>98.180039831800528</v>
      </c>
      <c r="P19" s="22">
        <v>106.18802183869123</v>
      </c>
      <c r="Q19" s="22">
        <v>94.741239024659038</v>
      </c>
      <c r="R19" s="22">
        <v>93.195539184014407</v>
      </c>
      <c r="S19" s="22">
        <v>94.260604619467145</v>
      </c>
    </row>
    <row r="20" spans="1:21" s="11" customFormat="1" x14ac:dyDescent="0.25">
      <c r="A20" s="21" t="s">
        <v>229</v>
      </c>
      <c r="B20" s="22">
        <v>100</v>
      </c>
      <c r="C20" s="22">
        <v>101.017936320007</v>
      </c>
      <c r="D20" s="22">
        <v>100.76878750695602</v>
      </c>
      <c r="E20" s="22">
        <v>95.995894290738619</v>
      </c>
      <c r="F20" s="22">
        <v>101.8602004126469</v>
      </c>
      <c r="G20" s="22">
        <v>98.333774212580565</v>
      </c>
      <c r="H20" s="22">
        <v>100.25345184116436</v>
      </c>
      <c r="I20" s="22">
        <v>103.12665031734809</v>
      </c>
      <c r="J20" s="22">
        <v>100.03228554196481</v>
      </c>
      <c r="K20" s="22">
        <v>98.717596195180022</v>
      </c>
      <c r="L20" s="22">
        <v>104.71781702484303</v>
      </c>
      <c r="M20" s="22">
        <v>107.66537065454729</v>
      </c>
      <c r="N20" s="22">
        <v>102.54474429148492</v>
      </c>
      <c r="O20" s="22">
        <v>106.66149157155986</v>
      </c>
      <c r="P20" s="22">
        <v>104.82087514588125</v>
      </c>
      <c r="Q20" s="22">
        <v>101.61361527968141</v>
      </c>
      <c r="R20" s="22">
        <v>106.97404979556092</v>
      </c>
      <c r="S20" s="22">
        <v>97.294559339740786</v>
      </c>
    </row>
    <row r="21" spans="1:21" s="11" customFormat="1" x14ac:dyDescent="0.25">
      <c r="A21" s="21" t="s">
        <v>230</v>
      </c>
      <c r="B21" s="22">
        <v>100</v>
      </c>
      <c r="C21" s="22">
        <v>98.920547421206621</v>
      </c>
      <c r="D21" s="22">
        <v>99.840078919898829</v>
      </c>
      <c r="E21" s="22">
        <v>98.192427144934214</v>
      </c>
      <c r="F21" s="22">
        <v>103.185246065508</v>
      </c>
      <c r="G21" s="22">
        <v>96.628504210665767</v>
      </c>
      <c r="H21" s="22">
        <v>95.567853043986645</v>
      </c>
      <c r="I21" s="22">
        <v>100.66841071001717</v>
      </c>
      <c r="J21" s="22">
        <v>98.887746361711677</v>
      </c>
      <c r="K21" s="22">
        <v>105.06970282405896</v>
      </c>
      <c r="L21" s="22">
        <v>101.28259854005167</v>
      </c>
      <c r="M21" s="22">
        <v>111.09828421294844</v>
      </c>
      <c r="N21" s="22">
        <v>95.816938120698737</v>
      </c>
      <c r="O21" s="22">
        <v>104.03695152044278</v>
      </c>
      <c r="P21" s="22">
        <v>104.55380558767214</v>
      </c>
      <c r="Q21" s="22">
        <v>96.130021268549612</v>
      </c>
      <c r="R21" s="22">
        <v>103.11673140481791</v>
      </c>
      <c r="S21" s="22">
        <v>92.252388425929936</v>
      </c>
    </row>
    <row r="22" spans="1:21" s="11" customFormat="1" x14ac:dyDescent="0.25">
      <c r="A22" s="21" t="s">
        <v>231</v>
      </c>
      <c r="B22" s="22">
        <v>100</v>
      </c>
      <c r="C22" s="22">
        <v>98.273788648482366</v>
      </c>
      <c r="D22" s="22">
        <v>94.313630530889029</v>
      </c>
      <c r="E22" s="22">
        <v>96.369010763895417</v>
      </c>
      <c r="F22" s="22">
        <v>100.01117424873925</v>
      </c>
      <c r="G22" s="22">
        <v>100.95661949378308</v>
      </c>
      <c r="H22" s="22">
        <v>99.686533148661098</v>
      </c>
      <c r="I22" s="22">
        <v>99.621717564492315</v>
      </c>
      <c r="J22" s="22">
        <v>94.649318363948581</v>
      </c>
      <c r="K22" s="22">
        <v>112.06968650212485</v>
      </c>
      <c r="L22" s="22">
        <v>100.3576978204964</v>
      </c>
      <c r="M22" s="22">
        <v>112.71255493499477</v>
      </c>
      <c r="N22" s="22">
        <v>98.449189011936241</v>
      </c>
      <c r="O22" s="22">
        <v>100.46726938782676</v>
      </c>
      <c r="P22" s="22">
        <v>105.17497635572502</v>
      </c>
      <c r="Q22" s="22">
        <v>98.200070163257806</v>
      </c>
      <c r="R22" s="22">
        <v>99.837779569434943</v>
      </c>
      <c r="S22" s="22">
        <v>94.260801522288673</v>
      </c>
    </row>
    <row r="23" spans="1:21" s="11" customFormat="1" x14ac:dyDescent="0.25">
      <c r="A23" s="32" t="s">
        <v>232</v>
      </c>
      <c r="B23" s="22"/>
      <c r="C23" s="22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</row>
    <row r="24" spans="1:21" s="11" customFormat="1" x14ac:dyDescent="0.25">
      <c r="A24" s="21" t="s">
        <v>233</v>
      </c>
      <c r="B24" s="22">
        <v>100</v>
      </c>
      <c r="C24" s="22">
        <v>99.238583600318989</v>
      </c>
      <c r="D24" s="22">
        <v>104.7018874808839</v>
      </c>
      <c r="E24" s="22">
        <v>108.43735454317007</v>
      </c>
      <c r="F24" s="22">
        <v>98.585871863668274</v>
      </c>
      <c r="G24" s="22">
        <v>106.63511902079208</v>
      </c>
      <c r="H24" s="22">
        <v>97.809809110566491</v>
      </c>
      <c r="I24" s="22">
        <v>105.56578595461997</v>
      </c>
      <c r="J24" s="22">
        <v>100.31535089317047</v>
      </c>
      <c r="K24" s="22">
        <v>102.51176135871664</v>
      </c>
      <c r="L24" s="22">
        <v>96.164595263662761</v>
      </c>
      <c r="M24" s="22">
        <v>105.00040455104178</v>
      </c>
      <c r="N24" s="22">
        <v>101.98169093240736</v>
      </c>
      <c r="O24" s="22">
        <v>90.942810254061456</v>
      </c>
      <c r="P24" s="22">
        <v>97.471459789897182</v>
      </c>
      <c r="Q24" s="22">
        <v>99.769347137734542</v>
      </c>
      <c r="R24" s="22">
        <v>90.220817413946747</v>
      </c>
      <c r="S24" s="22">
        <v>96.790173263449589</v>
      </c>
    </row>
    <row r="25" spans="1:21" s="69" customFormat="1" x14ac:dyDescent="0.25">
      <c r="A25" s="24" t="s">
        <v>286</v>
      </c>
      <c r="B25" s="25">
        <f>65+6.751636853557</f>
        <v>71.751636853557002</v>
      </c>
      <c r="C25" s="25">
        <f>65+7.92949379379475</f>
        <v>72.929493793794748</v>
      </c>
      <c r="D25" s="25">
        <f>65+6.17570785947039</f>
        <v>71.175707859470393</v>
      </c>
      <c r="E25" s="25">
        <f>65+6.05719056277466</f>
        <v>71.057190562774664</v>
      </c>
      <c r="F25" s="25">
        <f>65+7.14991975251831</f>
        <v>72.149919752518315</v>
      </c>
      <c r="G25" s="25">
        <f>65+7.05945202054369</f>
        <v>72.059452020543688</v>
      </c>
      <c r="H25" s="25">
        <f>65+7.65087455444122</f>
        <v>72.650874554441216</v>
      </c>
      <c r="I25" s="25">
        <f>65+6.85123942149556</f>
        <v>71.851239421495563</v>
      </c>
      <c r="J25" s="25">
        <f>65+7.44855979035364</f>
        <v>72.448559790353642</v>
      </c>
      <c r="K25" s="25">
        <f>65+5.0083284926455</f>
        <v>70.008328492645504</v>
      </c>
      <c r="L25" s="25">
        <f>65+6.82894703660703</f>
        <v>71.828947036607033</v>
      </c>
      <c r="M25" s="25">
        <f>65+7.50873942149555</f>
        <v>72.508739421495548</v>
      </c>
      <c r="N25" s="25">
        <f>65+7.50316475635719</f>
        <v>72.503164756357194</v>
      </c>
      <c r="O25" s="25">
        <f>65+9.69253603318298</f>
        <v>74.692536033182975</v>
      </c>
      <c r="P25" s="25">
        <f>65+8.09087445405198</f>
        <v>73.090874454051985</v>
      </c>
      <c r="Q25" s="25">
        <f>65+6.91649809759265</f>
        <v>71.916498097592651</v>
      </c>
      <c r="R25" s="25">
        <f>65+9.82132603318298</f>
        <v>74.821326033182984</v>
      </c>
      <c r="S25" s="25">
        <f>65+9.78098929884719</f>
        <v>74.780989298847189</v>
      </c>
    </row>
    <row r="26" spans="1:21" s="11" customFormat="1" x14ac:dyDescent="0.25">
      <c r="A26" s="21" t="s">
        <v>235</v>
      </c>
      <c r="B26" s="22">
        <v>100</v>
      </c>
      <c r="C26" s="22">
        <v>105.58656661459578</v>
      </c>
      <c r="D26" s="22">
        <v>104.00920379499254</v>
      </c>
      <c r="E26" s="22">
        <v>103.91757392592507</v>
      </c>
      <c r="F26" s="22">
        <v>105.20540196446369</v>
      </c>
      <c r="G26" s="22">
        <v>106.86397029720271</v>
      </c>
      <c r="H26" s="22">
        <v>103.34408432554343</v>
      </c>
      <c r="I26" s="22">
        <v>125.11718116715768</v>
      </c>
      <c r="J26" s="22">
        <v>107.49608079967865</v>
      </c>
      <c r="K26" s="22">
        <v>109.73146098696583</v>
      </c>
      <c r="L26" s="22">
        <v>113.60763400954197</v>
      </c>
      <c r="M26" s="22">
        <v>105.61249196722986</v>
      </c>
      <c r="N26" s="22">
        <v>109.72419158488671</v>
      </c>
      <c r="O26" s="22">
        <v>109.12461009224539</v>
      </c>
      <c r="P26" s="22">
        <v>108.31975231223265</v>
      </c>
      <c r="Q26" s="22">
        <v>106.62054568673116</v>
      </c>
      <c r="R26" s="22">
        <v>114.18294826686044</v>
      </c>
      <c r="S26" s="22">
        <v>99.745837062020499</v>
      </c>
    </row>
    <row r="27" spans="1:21" s="11" customFormat="1" x14ac:dyDescent="0.25">
      <c r="A27" s="24" t="s">
        <v>307</v>
      </c>
      <c r="B27" s="25">
        <f>65+7.7150581746045</f>
        <v>72.715058174604494</v>
      </c>
      <c r="C27" s="25">
        <f>65+8.1156096325934</f>
        <v>73.115609632593404</v>
      </c>
      <c r="D27" s="25">
        <f>65+8.82324693318968</f>
        <v>73.823246933189679</v>
      </c>
      <c r="E27" s="25">
        <f>65+7.64490868493375</f>
        <v>72.644908684933753</v>
      </c>
      <c r="F27" s="25">
        <f>65+7.64140138985852</f>
        <v>72.641401389858515</v>
      </c>
      <c r="G27" s="25">
        <f>65+7.28738919962065</f>
        <v>72.287389199620648</v>
      </c>
      <c r="H27" s="25">
        <f>65+7.12622436224011</f>
        <v>72.126224362240109</v>
      </c>
      <c r="I27" s="25">
        <f>65+3.67575487859449</f>
        <v>68.675754878594489</v>
      </c>
      <c r="J27" s="25">
        <f>65+7.82863516769818</f>
        <v>72.828635167698181</v>
      </c>
      <c r="K27" s="25">
        <f>65+6.99851768415006</f>
        <v>71.998517684150059</v>
      </c>
      <c r="L27" s="25">
        <f>65+5.50974275243014</f>
        <v>70.509742752430142</v>
      </c>
      <c r="M27" s="25">
        <f>65+6.98486219117831</f>
        <v>71.984862191178308</v>
      </c>
      <c r="N27" s="25">
        <f>65+7.24125096577072</f>
        <v>72.241250965770718</v>
      </c>
      <c r="O27" s="25">
        <f>65+8.6536828834254</f>
        <v>73.653682883425404</v>
      </c>
      <c r="P27" s="25">
        <f>65+8.45141148885124</f>
        <v>73.451411488851235</v>
      </c>
      <c r="Q27" s="25">
        <f>65+7.10578626685984</f>
        <v>72.105786266859837</v>
      </c>
      <c r="R27" s="25">
        <f>65+7.35143407583867</f>
        <v>72.351434075838668</v>
      </c>
      <c r="S27" s="25">
        <f>65+9.29643225050687</f>
        <v>74.296432250506868</v>
      </c>
      <c r="T27" s="68"/>
      <c r="U27" s="68"/>
    </row>
    <row r="28" spans="1:21" s="11" customFormat="1" x14ac:dyDescent="0.25">
      <c r="A28" s="21" t="s">
        <v>237</v>
      </c>
      <c r="B28" s="22">
        <v>100</v>
      </c>
      <c r="C28" s="22">
        <v>105.66811513222297</v>
      </c>
      <c r="D28" s="22">
        <v>113.30422418458308</v>
      </c>
      <c r="E28" s="22">
        <v>102.80308826455713</v>
      </c>
      <c r="F28" s="22">
        <v>103.45470818039702</v>
      </c>
      <c r="G28" s="22">
        <v>104.29594856547008</v>
      </c>
      <c r="H28" s="22">
        <v>99.096989522612262</v>
      </c>
      <c r="I28" s="22">
        <v>100.21600707392662</v>
      </c>
      <c r="J28" s="22">
        <v>101.98724483397737</v>
      </c>
      <c r="K28" s="22">
        <v>114.85266671859198</v>
      </c>
      <c r="L28" s="22">
        <v>95.947832064408416</v>
      </c>
      <c r="M28" s="22">
        <v>128.06482650713718</v>
      </c>
      <c r="N28" s="22">
        <v>98.715755767192007</v>
      </c>
      <c r="O28" s="22">
        <v>104.09305520893506</v>
      </c>
      <c r="P28" s="22">
        <v>110.51424181445451</v>
      </c>
      <c r="Q28" s="22">
        <v>103.28907910831204</v>
      </c>
      <c r="R28" s="22">
        <v>106.10723928077452</v>
      </c>
      <c r="S28" s="22">
        <v>102.18290772635625</v>
      </c>
    </row>
    <row r="29" spans="1:21" s="11" customFormat="1" x14ac:dyDescent="0.25">
      <c r="A29" s="21" t="s">
        <v>238</v>
      </c>
      <c r="B29" s="22">
        <v>100</v>
      </c>
      <c r="C29" s="22">
        <v>95.281102695544689</v>
      </c>
      <c r="D29" s="22">
        <v>96.522513081210562</v>
      </c>
      <c r="E29" s="22">
        <v>93.40085207353377</v>
      </c>
      <c r="F29" s="22">
        <v>95.96401231706345</v>
      </c>
      <c r="G29" s="22">
        <v>99.875154369022141</v>
      </c>
      <c r="H29" s="22">
        <v>93.488773942432502</v>
      </c>
      <c r="I29" s="22">
        <v>90.842281964285078</v>
      </c>
      <c r="J29" s="22">
        <v>93.133216570369214</v>
      </c>
      <c r="K29" s="22">
        <v>97.06978106443168</v>
      </c>
      <c r="L29" s="22">
        <v>99.687283284630226</v>
      </c>
      <c r="M29" s="22">
        <v>99.305744817286367</v>
      </c>
      <c r="N29" s="22">
        <v>94.178585355059951</v>
      </c>
      <c r="O29" s="22">
        <v>108.42405983266683</v>
      </c>
      <c r="P29" s="22">
        <v>102.58621539661631</v>
      </c>
      <c r="Q29" s="22">
        <v>93.830397848809085</v>
      </c>
      <c r="R29" s="22">
        <v>97.079773603569691</v>
      </c>
      <c r="S29" s="22">
        <v>88.608488075905228</v>
      </c>
    </row>
    <row r="30" spans="1:21" s="11" customFormat="1" x14ac:dyDescent="0.25">
      <c r="A30" s="38" t="s">
        <v>239</v>
      </c>
      <c r="B30" s="25"/>
      <c r="C30" s="25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21" s="11" customFormat="1" x14ac:dyDescent="0.25">
      <c r="A31" s="39" t="s">
        <v>240</v>
      </c>
      <c r="B31" s="25">
        <v>7.4658701251157149</v>
      </c>
      <c r="C31" s="25">
        <v>7.4845681162049171</v>
      </c>
      <c r="D31" s="41">
        <v>7.5580179096910207</v>
      </c>
      <c r="E31" s="25">
        <v>7.3771068203084189</v>
      </c>
      <c r="F31" s="25">
        <v>7.4319643295202527</v>
      </c>
      <c r="G31" s="25">
        <v>7.4474385997572847</v>
      </c>
      <c r="H31" s="25">
        <v>7.5269256862115403</v>
      </c>
      <c r="I31" s="41" t="s">
        <v>18</v>
      </c>
      <c r="J31" s="25">
        <v>7.2521421729052609</v>
      </c>
      <c r="K31" s="41" t="s">
        <v>18</v>
      </c>
      <c r="L31" s="25">
        <v>7.307596956755007</v>
      </c>
      <c r="M31" s="41" t="s">
        <v>18</v>
      </c>
      <c r="N31" s="25">
        <v>7.3592931985488432</v>
      </c>
      <c r="O31" s="41" t="s">
        <v>18</v>
      </c>
      <c r="P31" s="25">
        <v>7.6935923528782073</v>
      </c>
      <c r="Q31" s="25">
        <v>7.3874740631498597</v>
      </c>
      <c r="R31" s="25">
        <v>7.4016910575810666</v>
      </c>
      <c r="S31" s="41">
        <v>7.3500748705592507</v>
      </c>
    </row>
    <row r="32" spans="1:21" s="11" customFormat="1" x14ac:dyDescent="0.25">
      <c r="A32" s="38" t="s">
        <v>241</v>
      </c>
      <c r="B32" s="25"/>
      <c r="C32" s="25"/>
      <c r="D32" s="181"/>
      <c r="E32" s="25"/>
      <c r="F32" s="25"/>
      <c r="G32" s="25"/>
      <c r="H32" s="25"/>
      <c r="I32" s="181"/>
      <c r="J32" s="25"/>
      <c r="K32" s="25"/>
      <c r="L32" s="25"/>
      <c r="M32" s="181"/>
      <c r="N32" s="25"/>
      <c r="O32" s="181"/>
      <c r="P32" s="25"/>
      <c r="Q32" s="25"/>
      <c r="R32" s="25"/>
      <c r="S32" s="25"/>
    </row>
    <row r="33" spans="1:19" s="11" customFormat="1" x14ac:dyDescent="0.25">
      <c r="A33" s="39" t="s">
        <v>242</v>
      </c>
      <c r="B33" s="41">
        <v>5.8125050399999987</v>
      </c>
      <c r="C33" s="40">
        <v>5.1499999999999995</v>
      </c>
      <c r="D33" s="25">
        <v>1.9</v>
      </c>
      <c r="E33" s="25">
        <v>6.5</v>
      </c>
      <c r="F33" s="25">
        <v>6.2</v>
      </c>
      <c r="G33" s="41">
        <v>5.7</v>
      </c>
      <c r="H33" s="25">
        <v>8.1</v>
      </c>
      <c r="I33" s="25">
        <v>7.4</v>
      </c>
      <c r="J33" s="41">
        <v>2.8</v>
      </c>
      <c r="K33" s="25">
        <v>7.9</v>
      </c>
      <c r="L33" s="41">
        <v>6.3</v>
      </c>
      <c r="M33" s="25">
        <v>5.3</v>
      </c>
      <c r="N33" s="25">
        <v>3.9</v>
      </c>
      <c r="O33" s="25">
        <v>8.8000000000000007</v>
      </c>
      <c r="P33" s="25">
        <v>4.8</v>
      </c>
      <c r="Q33" s="41">
        <v>6.2</v>
      </c>
      <c r="R33" s="25">
        <v>2.9</v>
      </c>
      <c r="S33" s="25">
        <v>6.7</v>
      </c>
    </row>
    <row r="34" spans="1:19" s="11" customFormat="1" x14ac:dyDescent="0.25">
      <c r="A34" s="39" t="s">
        <v>243</v>
      </c>
      <c r="B34" s="41">
        <v>5.3193624319999993</v>
      </c>
      <c r="C34" s="40">
        <v>6.1666666666666652</v>
      </c>
      <c r="D34" s="25">
        <v>6.5</v>
      </c>
      <c r="E34" s="25">
        <v>4.7</v>
      </c>
      <c r="F34" s="41">
        <v>6</v>
      </c>
      <c r="G34" s="41">
        <v>7.3</v>
      </c>
      <c r="H34" s="41">
        <v>5.6</v>
      </c>
      <c r="I34" s="41">
        <v>7</v>
      </c>
      <c r="J34" s="41">
        <v>6.6</v>
      </c>
      <c r="K34" s="25">
        <v>5.3</v>
      </c>
      <c r="L34" s="41">
        <v>5.5</v>
      </c>
      <c r="M34" s="41">
        <v>5.9</v>
      </c>
      <c r="N34" s="25">
        <v>6.5</v>
      </c>
      <c r="O34" s="41">
        <v>6.2</v>
      </c>
      <c r="P34" s="41">
        <v>6.8</v>
      </c>
      <c r="Q34" s="41">
        <v>5.8</v>
      </c>
      <c r="R34" s="25">
        <v>6.6</v>
      </c>
      <c r="S34" s="25">
        <v>6.8</v>
      </c>
    </row>
    <row r="35" spans="1:19" s="11" customFormat="1" x14ac:dyDescent="0.25">
      <c r="A35" s="39" t="s">
        <v>244</v>
      </c>
      <c r="B35" s="41">
        <v>6.6860034999999991</v>
      </c>
      <c r="C35" s="40">
        <v>6.7833333333333341</v>
      </c>
      <c r="D35" s="25">
        <v>7.2</v>
      </c>
      <c r="E35" s="25">
        <v>7.6</v>
      </c>
      <c r="F35" s="41">
        <v>6.3</v>
      </c>
      <c r="G35" s="41">
        <v>7.2</v>
      </c>
      <c r="H35" s="41">
        <v>7.9</v>
      </c>
      <c r="I35" s="41" t="s">
        <v>18</v>
      </c>
      <c r="J35" s="41">
        <v>6.7</v>
      </c>
      <c r="K35" s="41" t="s">
        <v>18</v>
      </c>
      <c r="L35" s="41">
        <v>6.5</v>
      </c>
      <c r="M35" s="41" t="s">
        <v>18</v>
      </c>
      <c r="N35" s="25">
        <v>7.3</v>
      </c>
      <c r="O35" s="41" t="s">
        <v>18</v>
      </c>
      <c r="P35" s="41">
        <v>5.3</v>
      </c>
      <c r="Q35" s="41">
        <v>6.2</v>
      </c>
      <c r="R35" s="25">
        <v>6.9</v>
      </c>
      <c r="S35" s="25">
        <v>5.8</v>
      </c>
    </row>
    <row r="36" spans="1:19" s="11" customFormat="1" x14ac:dyDescent="0.25">
      <c r="A36" s="38" t="s">
        <v>245</v>
      </c>
      <c r="B36" s="41"/>
      <c r="C36" s="40"/>
      <c r="D36" s="25"/>
      <c r="E36" s="25"/>
      <c r="F36" s="41"/>
      <c r="G36" s="41"/>
      <c r="H36" s="41"/>
      <c r="I36" s="41"/>
      <c r="J36" s="41"/>
      <c r="K36" s="41"/>
      <c r="L36" s="41"/>
      <c r="M36" s="41"/>
      <c r="N36" s="25"/>
      <c r="O36" s="41"/>
      <c r="P36" s="41"/>
      <c r="Q36" s="41"/>
      <c r="R36" s="25"/>
      <c r="S36" s="25"/>
    </row>
    <row r="37" spans="1:19" s="11" customFormat="1" x14ac:dyDescent="0.25">
      <c r="A37" s="39" t="s">
        <v>246</v>
      </c>
      <c r="B37" s="43" t="s">
        <v>18</v>
      </c>
      <c r="C37" s="43" t="s">
        <v>18</v>
      </c>
      <c r="D37" s="43">
        <v>2014</v>
      </c>
      <c r="E37" s="43">
        <v>2011</v>
      </c>
      <c r="F37" s="43">
        <v>2022</v>
      </c>
      <c r="G37" s="43">
        <v>2023</v>
      </c>
      <c r="H37" s="43">
        <v>2017</v>
      </c>
      <c r="I37" s="43">
        <v>2026</v>
      </c>
      <c r="J37" s="43">
        <v>2021</v>
      </c>
      <c r="K37" s="43">
        <v>2025</v>
      </c>
      <c r="L37" s="43">
        <v>2021</v>
      </c>
      <c r="M37" s="43">
        <v>2026</v>
      </c>
      <c r="N37" s="43">
        <v>2020</v>
      </c>
      <c r="O37" s="43">
        <v>2026</v>
      </c>
      <c r="P37" s="43">
        <v>2017</v>
      </c>
      <c r="Q37" s="43">
        <v>2020</v>
      </c>
      <c r="R37" s="20">
        <v>2005</v>
      </c>
      <c r="S37" s="43">
        <v>2006</v>
      </c>
    </row>
    <row r="38" spans="1:19" s="11" customFormat="1" x14ac:dyDescent="0.2">
      <c r="A38" s="39" t="s">
        <v>247</v>
      </c>
      <c r="B38" s="43" t="s">
        <v>18</v>
      </c>
      <c r="C38" s="43" t="s">
        <v>18</v>
      </c>
      <c r="D38" s="54" t="s">
        <v>148</v>
      </c>
      <c r="E38" s="54" t="s">
        <v>148</v>
      </c>
      <c r="F38" s="54" t="s">
        <v>148</v>
      </c>
      <c r="G38" s="54" t="s">
        <v>148</v>
      </c>
      <c r="H38" s="67" t="s">
        <v>165</v>
      </c>
      <c r="I38" s="54" t="s">
        <v>148</v>
      </c>
      <c r="J38" s="43" t="s">
        <v>151</v>
      </c>
      <c r="K38" s="54" t="s">
        <v>148</v>
      </c>
      <c r="L38" s="43" t="s">
        <v>156</v>
      </c>
      <c r="M38" s="43" t="s">
        <v>154</v>
      </c>
      <c r="N38" s="43" t="s">
        <v>154</v>
      </c>
      <c r="O38" s="43" t="s">
        <v>165</v>
      </c>
      <c r="P38" s="43" t="s">
        <v>151</v>
      </c>
      <c r="Q38" s="43" t="s">
        <v>156</v>
      </c>
      <c r="R38" s="54" t="s">
        <v>148</v>
      </c>
      <c r="S38" s="43" t="s">
        <v>159</v>
      </c>
    </row>
    <row r="39" spans="1:19" s="11" customFormat="1" x14ac:dyDescent="0.2">
      <c r="A39" s="39" t="s">
        <v>248</v>
      </c>
      <c r="B39" s="43" t="s">
        <v>18</v>
      </c>
      <c r="C39" s="43" t="s">
        <v>18</v>
      </c>
      <c r="D39" s="54" t="s">
        <v>249</v>
      </c>
      <c r="E39" s="54" t="s">
        <v>249</v>
      </c>
      <c r="F39" s="54" t="s">
        <v>249</v>
      </c>
      <c r="G39" s="54" t="s">
        <v>249</v>
      </c>
      <c r="H39" s="54" t="s">
        <v>156</v>
      </c>
      <c r="I39" s="54" t="s">
        <v>249</v>
      </c>
      <c r="J39" s="43" t="s">
        <v>267</v>
      </c>
      <c r="K39" s="54" t="s">
        <v>249</v>
      </c>
      <c r="L39" s="43" t="s">
        <v>289</v>
      </c>
      <c r="M39" s="43" t="s">
        <v>308</v>
      </c>
      <c r="N39" s="43" t="s">
        <v>159</v>
      </c>
      <c r="O39" s="43" t="s">
        <v>162</v>
      </c>
      <c r="P39" s="43" t="s">
        <v>267</v>
      </c>
      <c r="Q39" s="43" t="s">
        <v>156</v>
      </c>
      <c r="R39" s="54" t="s">
        <v>249</v>
      </c>
      <c r="S39" s="43" t="s">
        <v>159</v>
      </c>
    </row>
    <row r="40" spans="1:19" s="11" customFormat="1" x14ac:dyDescent="0.25">
      <c r="A40" s="19" t="s">
        <v>250</v>
      </c>
      <c r="B40" s="43"/>
      <c r="C40" s="43"/>
      <c r="D40" s="43"/>
      <c r="E40" s="43"/>
      <c r="F40" s="43"/>
      <c r="G40" s="43"/>
      <c r="H40" s="43"/>
      <c r="I40" s="20"/>
      <c r="J40" s="43"/>
      <c r="K40" s="43"/>
      <c r="L40" s="43"/>
      <c r="M40" s="20"/>
      <c r="N40" s="43"/>
      <c r="O40" s="20"/>
      <c r="P40" s="43"/>
      <c r="Q40" s="43"/>
      <c r="R40" s="20"/>
      <c r="S40" s="20"/>
    </row>
    <row r="41" spans="1:19" s="11" customFormat="1" x14ac:dyDescent="0.25">
      <c r="A41" s="39" t="s">
        <v>251</v>
      </c>
      <c r="B41" s="43" t="s">
        <v>18</v>
      </c>
      <c r="C41" s="43" t="s">
        <v>18</v>
      </c>
      <c r="D41" s="43">
        <v>13</v>
      </c>
      <c r="E41" s="43">
        <v>20</v>
      </c>
      <c r="F41" s="43">
        <v>13</v>
      </c>
      <c r="G41" s="43">
        <v>12</v>
      </c>
      <c r="H41" s="43">
        <v>12</v>
      </c>
      <c r="I41" s="20">
        <v>5</v>
      </c>
      <c r="J41" s="43">
        <v>13</v>
      </c>
      <c r="K41" s="43">
        <v>5</v>
      </c>
      <c r="L41" s="43">
        <v>13</v>
      </c>
      <c r="M41" s="20">
        <v>5</v>
      </c>
      <c r="N41" s="43">
        <v>12</v>
      </c>
      <c r="O41" s="20">
        <v>5</v>
      </c>
      <c r="P41" s="43">
        <v>12</v>
      </c>
      <c r="Q41" s="43">
        <v>12</v>
      </c>
      <c r="R41" s="20">
        <v>30</v>
      </c>
      <c r="S41" s="20">
        <v>11</v>
      </c>
    </row>
    <row r="42" spans="1:19" s="11" customFormat="1" x14ac:dyDescent="0.25">
      <c r="A42" s="39" t="s">
        <v>252</v>
      </c>
      <c r="B42" s="43" t="s">
        <v>18</v>
      </c>
      <c r="C42" s="43" t="s">
        <v>18</v>
      </c>
      <c r="D42" s="20">
        <v>12</v>
      </c>
      <c r="E42" s="20">
        <v>17</v>
      </c>
      <c r="F42" s="20">
        <v>12</v>
      </c>
      <c r="G42" s="20">
        <v>9</v>
      </c>
      <c r="H42" s="20">
        <v>11</v>
      </c>
      <c r="I42" s="20">
        <v>5</v>
      </c>
      <c r="J42" s="20">
        <v>12</v>
      </c>
      <c r="K42" s="20">
        <v>5</v>
      </c>
      <c r="L42" s="20">
        <v>12</v>
      </c>
      <c r="M42" s="20">
        <v>5</v>
      </c>
      <c r="N42" s="20">
        <v>11</v>
      </c>
      <c r="O42" s="20">
        <v>5</v>
      </c>
      <c r="P42" s="20">
        <v>11</v>
      </c>
      <c r="Q42" s="20">
        <v>11</v>
      </c>
      <c r="R42" s="20">
        <v>27</v>
      </c>
      <c r="S42" s="20">
        <v>10</v>
      </c>
    </row>
    <row r="43" spans="1:19" s="11" customFormat="1" x14ac:dyDescent="0.25">
      <c r="A43" s="39" t="s">
        <v>253</v>
      </c>
      <c r="B43" s="43" t="s">
        <v>18</v>
      </c>
      <c r="C43" s="43" t="s">
        <v>18</v>
      </c>
      <c r="D43" s="20">
        <v>11</v>
      </c>
      <c r="E43" s="20">
        <v>15</v>
      </c>
      <c r="F43" s="20">
        <v>9</v>
      </c>
      <c r="G43" s="20">
        <v>6</v>
      </c>
      <c r="H43" s="20">
        <v>12</v>
      </c>
      <c r="I43" s="20">
        <v>5</v>
      </c>
      <c r="J43" s="20">
        <v>11</v>
      </c>
      <c r="K43" s="20">
        <v>5</v>
      </c>
      <c r="L43" s="20">
        <v>11</v>
      </c>
      <c r="M43" s="20">
        <v>5</v>
      </c>
      <c r="N43" s="20">
        <v>10</v>
      </c>
      <c r="O43" s="20">
        <v>5</v>
      </c>
      <c r="P43" s="20">
        <v>12</v>
      </c>
      <c r="Q43" s="20">
        <v>10</v>
      </c>
      <c r="R43" s="20">
        <v>27</v>
      </c>
      <c r="S43" s="20">
        <v>10</v>
      </c>
    </row>
    <row r="44" spans="1:19" x14ac:dyDescent="0.25">
      <c r="A44" s="55" t="s">
        <v>254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</row>
    <row r="45" spans="1:19" x14ac:dyDescent="0.25">
      <c r="A45" s="56" t="s">
        <v>255</v>
      </c>
      <c r="B45" s="67"/>
      <c r="C45" s="67"/>
      <c r="D45" s="70"/>
      <c r="E45" s="70"/>
      <c r="F45" s="70"/>
      <c r="G45" s="70"/>
      <c r="H45" s="70"/>
      <c r="I45" s="71"/>
      <c r="J45" s="70"/>
      <c r="K45" s="70"/>
      <c r="L45" s="70"/>
      <c r="M45" s="71"/>
      <c r="N45" s="70"/>
      <c r="O45" s="71"/>
      <c r="P45" s="70"/>
      <c r="Q45" s="70"/>
      <c r="R45" s="72"/>
      <c r="S45" s="70"/>
    </row>
    <row r="46" spans="1:19" x14ac:dyDescent="0.25">
      <c r="A46" s="56" t="s">
        <v>256</v>
      </c>
      <c r="B46" s="67"/>
      <c r="C46" s="67"/>
      <c r="D46" s="70"/>
      <c r="E46" s="70"/>
      <c r="F46" s="70"/>
      <c r="G46" s="70"/>
      <c r="H46" s="70"/>
      <c r="I46" s="71"/>
      <c r="J46" s="70"/>
      <c r="K46" s="70"/>
      <c r="L46" s="70"/>
      <c r="M46" s="71"/>
      <c r="N46" s="70"/>
      <c r="O46" s="71"/>
      <c r="P46" s="72"/>
      <c r="Q46" s="70"/>
      <c r="R46" s="72"/>
      <c r="S46" s="70"/>
    </row>
    <row r="47" spans="1:19" x14ac:dyDescent="0.25">
      <c r="A47" s="56" t="s">
        <v>257</v>
      </c>
      <c r="B47" s="67"/>
      <c r="C47" s="67"/>
      <c r="D47" s="70"/>
      <c r="E47" s="70"/>
      <c r="F47" s="70"/>
      <c r="G47" s="70"/>
      <c r="H47" s="70"/>
      <c r="I47" s="71"/>
      <c r="J47" s="70"/>
      <c r="K47" s="70"/>
      <c r="L47" s="70"/>
      <c r="M47" s="71"/>
      <c r="N47" s="70"/>
      <c r="O47" s="71"/>
      <c r="P47" s="72"/>
      <c r="Q47" s="70"/>
      <c r="R47" s="72"/>
      <c r="S47" s="70"/>
    </row>
    <row r="48" spans="1:19" x14ac:dyDescent="0.25">
      <c r="A48" s="55" t="s">
        <v>258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</row>
    <row r="50" spans="19:19" x14ac:dyDescent="0.25">
      <c r="S50"/>
    </row>
    <row r="51" spans="19:19" x14ac:dyDescent="0.25">
      <c r="S51"/>
    </row>
    <row r="52" spans="19:19" x14ac:dyDescent="0.25">
      <c r="S52"/>
    </row>
    <row r="53" spans="19:19" x14ac:dyDescent="0.25">
      <c r="S53"/>
    </row>
    <row r="56" spans="19:19" x14ac:dyDescent="0.25">
      <c r="S56"/>
    </row>
    <row r="57" spans="19:19" x14ac:dyDescent="0.25">
      <c r="S57"/>
    </row>
    <row r="58" spans="19:19" x14ac:dyDescent="0.25">
      <c r="S58"/>
    </row>
    <row r="59" spans="19:19" x14ac:dyDescent="0.25">
      <c r="S59"/>
    </row>
    <row r="60" spans="19:19" x14ac:dyDescent="0.25">
      <c r="S60"/>
    </row>
    <row r="61" spans="19:19" x14ac:dyDescent="0.25">
      <c r="S61"/>
    </row>
    <row r="62" spans="19:19" x14ac:dyDescent="0.25">
      <c r="S62"/>
    </row>
    <row r="63" spans="19:19" x14ac:dyDescent="0.25">
      <c r="S63"/>
    </row>
    <row r="64" spans="19:19" x14ac:dyDescent="0.25">
      <c r="S64"/>
    </row>
    <row r="65" spans="19:19" x14ac:dyDescent="0.25">
      <c r="S65"/>
    </row>
    <row r="66" spans="19:19" x14ac:dyDescent="0.25">
      <c r="S66"/>
    </row>
    <row r="67" spans="19:19" x14ac:dyDescent="0.25">
      <c r="S67"/>
    </row>
    <row r="68" spans="19:19" x14ac:dyDescent="0.25">
      <c r="S68"/>
    </row>
    <row r="69" spans="19:19" x14ac:dyDescent="0.25">
      <c r="S69"/>
    </row>
  </sheetData>
  <conditionalFormatting sqref="D25:S25">
    <cfRule type="cellIs" dxfId="192" priority="5" stopIfTrue="1" operator="greaterThan">
      <formula>"7.5+1.35"</formula>
    </cfRule>
    <cfRule type="cellIs" dxfId="191" priority="7" stopIfTrue="1" operator="greaterThan">
      <formula>"7.5+$Z$37"</formula>
    </cfRule>
  </conditionalFormatting>
  <conditionalFormatting sqref="F25">
    <cfRule type="aboveAverage" priority="6" stopIfTrue="1"/>
  </conditionalFormatting>
  <conditionalFormatting sqref="K25">
    <cfRule type="aboveAverage" priority="3" stopIfTrue="1"/>
    <cfRule type="cellIs" dxfId="190" priority="4" stopIfTrue="1" operator="greaterThan">
      <formula>"7.5+$Z$37"</formula>
    </cfRule>
  </conditionalFormatting>
  <conditionalFormatting sqref="L25">
    <cfRule type="aboveAverage" priority="9" stopIfTrue="1"/>
    <cfRule type="cellIs" dxfId="189" priority="10" stopIfTrue="1" operator="greaterThan">
      <formula>"7.5+$Z$37"</formula>
    </cfRule>
  </conditionalFormatting>
  <conditionalFormatting sqref="N25">
    <cfRule type="aboveAverage" priority="1" stopIfTrue="1"/>
    <cfRule type="cellIs" dxfId="188" priority="2" stopIfTrue="1" operator="greaterThan">
      <formula>"7.5+$Z$37"</formula>
    </cfRule>
  </conditionalFormatting>
  <conditionalFormatting sqref="P25">
    <cfRule type="aboveAverage" priority="8" stopIfTrue="1"/>
  </conditionalFormatting>
  <conditionalFormatting sqref="Q25">
    <cfRule type="aboveAverage" priority="11" stopIfTrue="1"/>
  </conditionalFormatting>
  <conditionalFormatting sqref="R25:S25 D25:E25 G25:J25 M25 O25">
    <cfRule type="aboveAverage" priority="12" stopIfTrue="1"/>
  </conditionalFormatting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57D89-4BE5-4689-8E26-962ED4FF1701}">
  <dimension ref="A1:AK49"/>
  <sheetViews>
    <sheetView workbookViewId="0"/>
  </sheetViews>
  <sheetFormatPr defaultColWidth="9.28515625" defaultRowHeight="15" x14ac:dyDescent="0.25"/>
  <cols>
    <col min="1" max="1" width="148.5703125" bestFit="1" customWidth="1"/>
    <col min="2" max="2" width="23.85546875" style="73" bestFit="1" customWidth="1"/>
    <col min="3" max="3" width="36.85546875" style="73" bestFit="1" customWidth="1"/>
    <col min="4" max="4" width="12.85546875" style="73" bestFit="1" customWidth="1"/>
    <col min="5" max="5" width="15.140625" style="73" bestFit="1" customWidth="1"/>
    <col min="6" max="6" width="9.85546875" style="73" bestFit="1" customWidth="1"/>
    <col min="7" max="7" width="11.85546875" style="73" bestFit="1" customWidth="1"/>
    <col min="8" max="8" width="9.85546875" style="73" bestFit="1" customWidth="1"/>
    <col min="9" max="9" width="13.140625" style="73" bestFit="1" customWidth="1"/>
    <col min="10" max="10" width="14.7109375" style="73" bestFit="1" customWidth="1"/>
    <col min="11" max="11" width="12.5703125" style="73" bestFit="1" customWidth="1"/>
    <col min="12" max="12" width="11.42578125" style="73" bestFit="1" customWidth="1"/>
    <col min="13" max="13" width="12.140625" style="73" bestFit="1" customWidth="1"/>
    <col min="14" max="14" width="12" style="73" bestFit="1" customWidth="1"/>
    <col min="15" max="16" width="11.28515625" style="73" bestFit="1" customWidth="1"/>
    <col min="17" max="17" width="11.85546875" style="73" bestFit="1" customWidth="1"/>
    <col min="18" max="18" width="11.5703125" style="73" bestFit="1" customWidth="1"/>
    <col min="19" max="19" width="13.140625" style="73" bestFit="1" customWidth="1"/>
    <col min="20" max="20" width="11.85546875" style="73" bestFit="1" customWidth="1"/>
    <col min="21" max="21" width="12.5703125" style="73" bestFit="1" customWidth="1"/>
    <col min="22" max="22" width="13.140625" style="73" bestFit="1" customWidth="1"/>
    <col min="23" max="23" width="11.42578125" style="73" bestFit="1" customWidth="1"/>
    <col min="24" max="24" width="11.85546875" style="73" bestFit="1" customWidth="1"/>
    <col min="25" max="25" width="10.85546875" style="73" bestFit="1" customWidth="1"/>
    <col min="26" max="26" width="10.5703125" style="73" bestFit="1" customWidth="1"/>
    <col min="27" max="27" width="13.140625" style="73" bestFit="1" customWidth="1"/>
    <col min="28" max="28" width="10.85546875" style="73" bestFit="1" customWidth="1"/>
    <col min="29" max="29" width="13.140625" style="73" bestFit="1" customWidth="1"/>
    <col min="30" max="30" width="15.5703125" style="73" bestFit="1" customWidth="1"/>
    <col min="31" max="31" width="9.140625" style="73" bestFit="1" customWidth="1"/>
    <col min="32" max="32" width="11.85546875" style="73" bestFit="1" customWidth="1"/>
    <col min="33" max="33" width="9.85546875" style="73" bestFit="1" customWidth="1"/>
    <col min="34" max="34" width="13.42578125" style="73" bestFit="1" customWidth="1"/>
    <col min="35" max="35" width="14.85546875" style="73" bestFit="1" customWidth="1"/>
    <col min="36" max="36" width="12.140625" style="73" bestFit="1" customWidth="1"/>
  </cols>
  <sheetData>
    <row r="1" spans="1:37" x14ac:dyDescent="0.25">
      <c r="A1" s="59" t="s">
        <v>186</v>
      </c>
      <c r="B1" s="60"/>
      <c r="C1" s="60"/>
      <c r="D1" s="61"/>
      <c r="E1" s="62"/>
      <c r="F1" s="62"/>
      <c r="G1" s="61"/>
      <c r="H1" s="61"/>
      <c r="I1" s="62"/>
      <c r="J1" s="61"/>
      <c r="K1" s="61"/>
      <c r="L1" s="62"/>
      <c r="M1" s="62"/>
      <c r="N1" s="61"/>
      <c r="O1" s="61"/>
      <c r="P1" s="61"/>
      <c r="Q1" s="61"/>
      <c r="R1" s="61"/>
      <c r="S1" s="62"/>
      <c r="T1" s="61"/>
      <c r="U1" s="61"/>
      <c r="V1" s="61"/>
      <c r="W1" s="61"/>
      <c r="Y1" s="61"/>
      <c r="Z1" s="61"/>
      <c r="AA1" s="62"/>
      <c r="AB1" s="61"/>
      <c r="AC1" s="61"/>
      <c r="AE1" s="61"/>
      <c r="AF1" s="61"/>
      <c r="AG1" s="61"/>
      <c r="AH1" s="61"/>
      <c r="AJ1" s="61"/>
    </row>
    <row r="2" spans="1:37" x14ac:dyDescent="0.25">
      <c r="A2" s="63"/>
      <c r="B2" s="60"/>
      <c r="C2" s="60"/>
      <c r="D2" s="62"/>
      <c r="E2" s="62"/>
      <c r="F2" s="62"/>
      <c r="G2" s="61"/>
      <c r="H2" s="61"/>
      <c r="I2" s="62"/>
      <c r="J2" s="62"/>
      <c r="K2" s="62"/>
      <c r="L2" s="62"/>
      <c r="M2" s="62"/>
      <c r="N2" s="61"/>
      <c r="O2" s="62"/>
      <c r="P2" s="61"/>
      <c r="Q2" s="62"/>
      <c r="R2" s="61"/>
      <c r="S2" s="62"/>
      <c r="T2" s="62"/>
      <c r="U2" s="62"/>
      <c r="V2" s="61"/>
      <c r="W2" s="62"/>
      <c r="X2" s="61"/>
      <c r="Y2" s="61"/>
      <c r="Z2" s="62"/>
      <c r="AA2" s="62"/>
      <c r="AB2" s="62"/>
      <c r="AC2" s="61"/>
      <c r="AD2" s="62"/>
      <c r="AE2" s="62"/>
      <c r="AF2" s="62"/>
      <c r="AG2" s="62"/>
      <c r="AH2" s="61"/>
      <c r="AI2" s="61"/>
      <c r="AJ2" s="62"/>
      <c r="AK2" s="61"/>
    </row>
    <row r="3" spans="1:37" s="82" customFormat="1" x14ac:dyDescent="0.2">
      <c r="A3" s="74" t="s">
        <v>186</v>
      </c>
      <c r="B3" s="74" t="s">
        <v>208</v>
      </c>
      <c r="C3" s="74" t="s">
        <v>309</v>
      </c>
      <c r="D3" s="74" t="s">
        <v>310</v>
      </c>
      <c r="E3" s="74" t="s">
        <v>311</v>
      </c>
      <c r="F3" s="74" t="s">
        <v>312</v>
      </c>
      <c r="G3" s="74" t="s">
        <v>313</v>
      </c>
      <c r="H3" s="74" t="s">
        <v>314</v>
      </c>
      <c r="I3" s="74" t="s">
        <v>315</v>
      </c>
      <c r="J3" s="74" t="s">
        <v>316</v>
      </c>
      <c r="K3" s="74" t="s">
        <v>317</v>
      </c>
      <c r="L3" s="74" t="s">
        <v>318</v>
      </c>
      <c r="M3" s="74" t="s">
        <v>319</v>
      </c>
      <c r="N3" s="74" t="s">
        <v>320</v>
      </c>
      <c r="O3" s="74" t="s">
        <v>321</v>
      </c>
      <c r="P3" s="74" t="s">
        <v>322</v>
      </c>
      <c r="Q3" s="74" t="s">
        <v>323</v>
      </c>
      <c r="R3" s="74" t="s">
        <v>324</v>
      </c>
      <c r="S3" s="74" t="s">
        <v>325</v>
      </c>
      <c r="T3" s="74" t="s">
        <v>326</v>
      </c>
      <c r="U3" s="74" t="s">
        <v>327</v>
      </c>
      <c r="V3" s="74" t="s">
        <v>328</v>
      </c>
      <c r="W3" s="74" t="s">
        <v>329</v>
      </c>
      <c r="X3" s="74" t="s">
        <v>330</v>
      </c>
      <c r="Y3" s="74" t="s">
        <v>331</v>
      </c>
      <c r="Z3" s="74" t="s">
        <v>332</v>
      </c>
      <c r="AA3" s="74" t="s">
        <v>333</v>
      </c>
      <c r="AB3" s="74" t="s">
        <v>334</v>
      </c>
      <c r="AC3" s="74" t="s">
        <v>335</v>
      </c>
      <c r="AD3" s="74" t="s">
        <v>336</v>
      </c>
      <c r="AE3" s="74" t="s">
        <v>337</v>
      </c>
      <c r="AF3" s="74" t="s">
        <v>338</v>
      </c>
      <c r="AG3" s="74" t="s">
        <v>339</v>
      </c>
      <c r="AH3" s="74" t="s">
        <v>340</v>
      </c>
      <c r="AI3" s="74" t="s">
        <v>341</v>
      </c>
      <c r="AJ3" s="74" t="s">
        <v>342</v>
      </c>
    </row>
    <row r="4" spans="1:37" x14ac:dyDescent="0.25">
      <c r="A4" s="14" t="s">
        <v>213</v>
      </c>
      <c r="B4" s="42" t="s">
        <v>18</v>
      </c>
      <c r="C4" s="42" t="s">
        <v>18</v>
      </c>
      <c r="D4" s="16" t="s">
        <v>6</v>
      </c>
      <c r="E4" s="16" t="s">
        <v>12</v>
      </c>
      <c r="F4" s="16" t="s">
        <v>6</v>
      </c>
      <c r="G4" s="16" t="s">
        <v>12</v>
      </c>
      <c r="H4" s="16" t="s">
        <v>12</v>
      </c>
      <c r="I4" s="16" t="s">
        <v>12</v>
      </c>
      <c r="J4" s="16" t="s">
        <v>6</v>
      </c>
      <c r="K4" s="16" t="s">
        <v>6</v>
      </c>
      <c r="L4" s="16" t="s">
        <v>12</v>
      </c>
      <c r="M4" s="16" t="s">
        <v>9</v>
      </c>
      <c r="N4" s="16" t="s">
        <v>12</v>
      </c>
      <c r="O4" s="16" t="s">
        <v>12</v>
      </c>
      <c r="P4" s="16" t="s">
        <v>12</v>
      </c>
      <c r="Q4" s="16" t="s">
        <v>9</v>
      </c>
      <c r="R4" s="16" t="s">
        <v>12</v>
      </c>
      <c r="S4" s="16" t="s">
        <v>6</v>
      </c>
      <c r="T4" s="16" t="s">
        <v>6</v>
      </c>
      <c r="U4" s="16" t="s">
        <v>12</v>
      </c>
      <c r="V4" s="16" t="s">
        <v>12</v>
      </c>
      <c r="W4" s="16" t="s">
        <v>6</v>
      </c>
      <c r="X4" s="16" t="s">
        <v>6</v>
      </c>
      <c r="Y4" s="16" t="s">
        <v>12</v>
      </c>
      <c r="Z4" s="16" t="s">
        <v>12</v>
      </c>
      <c r="AA4" s="16" t="s">
        <v>6</v>
      </c>
      <c r="AB4" s="16" t="s">
        <v>12</v>
      </c>
      <c r="AC4" s="16" t="s">
        <v>12</v>
      </c>
      <c r="AD4" s="16" t="s">
        <v>6</v>
      </c>
      <c r="AE4" s="16" t="s">
        <v>15</v>
      </c>
      <c r="AF4" s="16" t="s">
        <v>6</v>
      </c>
      <c r="AG4" s="16" t="s">
        <v>12</v>
      </c>
      <c r="AH4" s="16" t="s">
        <v>12</v>
      </c>
      <c r="AI4" s="16" t="s">
        <v>9</v>
      </c>
      <c r="AJ4" s="16" t="s">
        <v>12</v>
      </c>
    </row>
    <row r="5" spans="1:37" s="11" customFormat="1" x14ac:dyDescent="0.25">
      <c r="A5" s="17" t="s">
        <v>214</v>
      </c>
      <c r="B5" s="79" t="s">
        <v>18</v>
      </c>
      <c r="C5" s="79" t="s">
        <v>18</v>
      </c>
      <c r="D5" s="18">
        <v>149.17000000000002</v>
      </c>
      <c r="E5" s="18">
        <v>150.012</v>
      </c>
      <c r="F5" s="18">
        <v>150.184</v>
      </c>
      <c r="G5" s="18">
        <v>150.28800000000001</v>
      </c>
      <c r="H5" s="18">
        <v>150.589</v>
      </c>
      <c r="I5" s="18">
        <v>150.82</v>
      </c>
      <c r="J5" s="18">
        <v>150.97</v>
      </c>
      <c r="K5" s="18">
        <v>151.011</v>
      </c>
      <c r="L5" s="18">
        <v>151.09199999999998</v>
      </c>
      <c r="M5" s="18">
        <v>151.321</v>
      </c>
      <c r="N5" s="18">
        <v>151.41300000000001</v>
      </c>
      <c r="O5" s="18">
        <v>151.673</v>
      </c>
      <c r="P5" s="18">
        <v>151.70400000000001</v>
      </c>
      <c r="Q5" s="18">
        <v>151.762</v>
      </c>
      <c r="R5" s="18">
        <v>151.786</v>
      </c>
      <c r="S5" s="18">
        <v>151.84100000000001</v>
      </c>
      <c r="T5" s="18">
        <v>152.03100000000001</v>
      </c>
      <c r="U5" s="18">
        <v>152.19499999999999</v>
      </c>
      <c r="V5" s="18">
        <v>152.29900000000001</v>
      </c>
      <c r="W5" s="18">
        <v>152.68099999999998</v>
      </c>
      <c r="X5" s="18">
        <v>153.024</v>
      </c>
      <c r="Y5" s="18">
        <v>153.48099999999999</v>
      </c>
      <c r="Z5" s="18">
        <v>154.42000000000002</v>
      </c>
      <c r="AA5" s="18">
        <v>154.65300000000002</v>
      </c>
      <c r="AB5" s="18">
        <v>155.018</v>
      </c>
      <c r="AC5" s="18">
        <v>155.76</v>
      </c>
      <c r="AD5" s="18">
        <v>156.166</v>
      </c>
      <c r="AE5" s="18">
        <v>156.405</v>
      </c>
      <c r="AF5" s="18">
        <v>156.625</v>
      </c>
      <c r="AG5" s="18">
        <v>157.083</v>
      </c>
      <c r="AH5" s="18">
        <v>157.34199999999998</v>
      </c>
      <c r="AI5" s="18">
        <v>159.25200000000001</v>
      </c>
      <c r="AJ5" s="18">
        <v>162.07499999999999</v>
      </c>
    </row>
    <row r="6" spans="1:37" s="11" customFormat="1" x14ac:dyDescent="0.25">
      <c r="A6" s="19" t="s">
        <v>215</v>
      </c>
      <c r="B6" s="80"/>
      <c r="C6" s="8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7" s="11" customFormat="1" x14ac:dyDescent="0.25">
      <c r="A7" s="21" t="s">
        <v>216</v>
      </c>
      <c r="B7" s="22">
        <v>100</v>
      </c>
      <c r="C7" s="22">
        <v>98.526706619742725</v>
      </c>
      <c r="D7" s="22">
        <v>101.07017711171447</v>
      </c>
      <c r="E7" s="22">
        <v>108.42421599982787</v>
      </c>
      <c r="F7" s="22">
        <v>100.04692228967188</v>
      </c>
      <c r="G7" s="22">
        <v>106.80053145569963</v>
      </c>
      <c r="H7" s="22">
        <v>107.03866066474723</v>
      </c>
      <c r="I7" s="22">
        <v>98.345868373842137</v>
      </c>
      <c r="J7" s="22">
        <v>96.705169214796911</v>
      </c>
      <c r="K7" s="22">
        <v>100.52642770551016</v>
      </c>
      <c r="L7" s="22">
        <v>96.624650885868149</v>
      </c>
      <c r="M7" s="22">
        <v>101.20525471065538</v>
      </c>
      <c r="N7" s="22">
        <v>99.439483317864486</v>
      </c>
      <c r="O7" s="22">
        <v>104.07062257393181</v>
      </c>
      <c r="P7" s="22">
        <v>102.15551898812949</v>
      </c>
      <c r="Q7" s="22">
        <v>99.406268894265111</v>
      </c>
      <c r="R7" s="22">
        <v>103.33842218839783</v>
      </c>
      <c r="S7" s="22">
        <v>99.68166227604884</v>
      </c>
      <c r="T7" s="22">
        <v>94.838809089842101</v>
      </c>
      <c r="U7" s="22">
        <v>97.689521435869395</v>
      </c>
      <c r="V7" s="22">
        <v>98.647874928310543</v>
      </c>
      <c r="W7" s="22">
        <v>96.009577261263132</v>
      </c>
      <c r="X7" s="22">
        <v>98.551832058756418</v>
      </c>
      <c r="Y7" s="22">
        <v>103.41993358926004</v>
      </c>
      <c r="Z7" s="22">
        <v>96.102720731469901</v>
      </c>
      <c r="AA7" s="22">
        <v>103.22121409095763</v>
      </c>
      <c r="AB7" s="22">
        <v>103.20481029188295</v>
      </c>
      <c r="AC7" s="22">
        <v>102.03521647020902</v>
      </c>
      <c r="AD7" s="22">
        <v>108.4090466240737</v>
      </c>
      <c r="AE7" s="22">
        <v>98.090023528297181</v>
      </c>
      <c r="AF7" s="22">
        <v>96.64133731812538</v>
      </c>
      <c r="AG7" s="22">
        <v>101.17727930218113</v>
      </c>
      <c r="AH7" s="22">
        <v>110.00108623026003</v>
      </c>
      <c r="AI7" s="22">
        <v>102.7960269680306</v>
      </c>
      <c r="AJ7" s="22">
        <v>105.226482594663</v>
      </c>
    </row>
    <row r="8" spans="1:37" s="11" customFormat="1" x14ac:dyDescent="0.25">
      <c r="A8" s="24" t="s">
        <v>217</v>
      </c>
      <c r="B8" s="25">
        <f>65+11.8875479735432</f>
        <v>76.887547973543207</v>
      </c>
      <c r="C8" s="25">
        <f>65+11.9086246650671</f>
        <v>76.908624665067094</v>
      </c>
      <c r="D8" s="25">
        <f>65+12.3346262039974</f>
        <v>77.334626203997402</v>
      </c>
      <c r="E8" s="25">
        <f>65+14.8715061625824</f>
        <v>79.871506162582392</v>
      </c>
      <c r="F8" s="25">
        <f>65+11.0311127217754</f>
        <v>76.031112721775401</v>
      </c>
      <c r="G8" s="25">
        <f>65+14.8479599792222</f>
        <v>79.847959979222196</v>
      </c>
      <c r="H8" s="25">
        <f>65+11.8820386217918</f>
        <v>76.882038621791793</v>
      </c>
      <c r="I8" s="25">
        <f>65+11.2177800714221</f>
        <v>76.217780071422098</v>
      </c>
      <c r="J8" s="25">
        <f>65+10.6009660538801</f>
        <v>75.6009660538801</v>
      </c>
      <c r="K8" s="25">
        <f>65+13.7920271847576</f>
        <v>78.7920271847576</v>
      </c>
      <c r="L8" s="25">
        <f>65+11.8060011631531</f>
        <v>76.806001163153098</v>
      </c>
      <c r="M8" s="25">
        <f>65+10.352951291469</f>
        <v>75.352951291468997</v>
      </c>
      <c r="N8" s="25">
        <f>65+10.931408797899</f>
        <v>75.931408797898996</v>
      </c>
      <c r="O8" s="25">
        <f>65+11.704890052042</f>
        <v>76.704890052042003</v>
      </c>
      <c r="P8" s="25">
        <f>65+11.107614355389</f>
        <v>76.107614355389003</v>
      </c>
      <c r="Q8" s="25">
        <f>65+12.0144186408638</f>
        <v>77.014418640863795</v>
      </c>
      <c r="R8" s="25">
        <f>65+10.9703719551252</f>
        <v>75.970371955125202</v>
      </c>
      <c r="S8" s="25">
        <f>65+12.8009660538801</f>
        <v>77.800966053880103</v>
      </c>
      <c r="T8" s="25">
        <f>65+11.3039402824892</f>
        <v>76.303940282489208</v>
      </c>
      <c r="U8" s="25">
        <f>65+11.0021320188356</f>
        <v>76.002132018835596</v>
      </c>
      <c r="V8" s="25">
        <f>65+11.4540428623664</f>
        <v>76.454042862366407</v>
      </c>
      <c r="W8" s="25">
        <f>65+11.9582740123848</f>
        <v>76.958274012384805</v>
      </c>
      <c r="X8" s="25">
        <f>65+11.505062611574</f>
        <v>76.505062611574004</v>
      </c>
      <c r="Y8" s="25">
        <f>65+12.5803719551252</f>
        <v>77.580371955125202</v>
      </c>
      <c r="Z8" s="25">
        <f>65+11.3252482531757</f>
        <v>76.325248253175701</v>
      </c>
      <c r="AA8" s="25">
        <f>65+12.1139564860713</f>
        <v>77.113956486071302</v>
      </c>
      <c r="AB8" s="25">
        <f>65+11.1452292443163</f>
        <v>76.145229244316297</v>
      </c>
      <c r="AC8" s="25">
        <f>65+10.3046090266097</f>
        <v>75.304609026609697</v>
      </c>
      <c r="AD8" s="25">
        <f>65+11.3941066793754</f>
        <v>76.394106679375398</v>
      </c>
      <c r="AE8" s="25">
        <f>65+10.1378796851521</f>
        <v>75.1378796851521</v>
      </c>
      <c r="AF8" s="25">
        <f>65+14.0043684457999</f>
        <v>79.004368445799898</v>
      </c>
      <c r="AG8" s="25">
        <f>65+11.3193124773879</f>
        <v>76.319312477387896</v>
      </c>
      <c r="AH8" s="25">
        <f>65+10.4950813982604</f>
        <v>75.495081398260396</v>
      </c>
      <c r="AI8" s="25">
        <f>65+11.6161423625557</f>
        <v>76.616142362555706</v>
      </c>
      <c r="AJ8" s="25">
        <f>65+13.507159912041</f>
        <v>78.507159912041004</v>
      </c>
    </row>
    <row r="9" spans="1:37" s="11" customFormat="1" x14ac:dyDescent="0.25">
      <c r="A9" s="26" t="s">
        <v>218</v>
      </c>
      <c r="B9" s="27">
        <v>100</v>
      </c>
      <c r="C9" s="27">
        <v>98.535977309964252</v>
      </c>
      <c r="D9" s="27">
        <v>101.53366477816652</v>
      </c>
      <c r="E9" s="27">
        <v>111.47030120482862</v>
      </c>
      <c r="F9" s="27">
        <v>98.935427467321588</v>
      </c>
      <c r="G9" s="27">
        <v>110.28652322628935</v>
      </c>
      <c r="H9" s="27">
        <v>106.55474348094234</v>
      </c>
      <c r="I9" s="27">
        <v>96.542925624298263</v>
      </c>
      <c r="J9" s="27">
        <v>95.203046310806144</v>
      </c>
      <c r="K9" s="27">
        <v>102.2632777863552</v>
      </c>
      <c r="L9" s="27">
        <v>96.475288048300158</v>
      </c>
      <c r="M9" s="27">
        <v>99.130304903488025</v>
      </c>
      <c r="N9" s="27">
        <v>98.093377500328998</v>
      </c>
      <c r="O9" s="27">
        <v>103.82910211918072</v>
      </c>
      <c r="P9" s="27">
        <v>100.83862920325757</v>
      </c>
      <c r="Q9" s="27">
        <v>99.471547743980324</v>
      </c>
      <c r="R9" s="27">
        <v>102.02743928341101</v>
      </c>
      <c r="S9" s="27">
        <v>100.80958013888269</v>
      </c>
      <c r="T9" s="27">
        <v>94.062036288888919</v>
      </c>
      <c r="U9" s="27">
        <v>95.914835653505463</v>
      </c>
      <c r="V9" s="27">
        <v>98.044124571066504</v>
      </c>
      <c r="W9" s="27">
        <v>96.056683851376135</v>
      </c>
      <c r="X9" s="27">
        <v>97.987598879866141</v>
      </c>
      <c r="Y9" s="27">
        <v>103.93391535070188</v>
      </c>
      <c r="Z9" s="27">
        <v>95.349223715065875</v>
      </c>
      <c r="AA9" s="27">
        <v>103.71432079821363</v>
      </c>
      <c r="AB9" s="27">
        <v>101.86224946007469</v>
      </c>
      <c r="AC9" s="27">
        <v>100.02243339709013</v>
      </c>
      <c r="AD9" s="27">
        <v>107.67098973070134</v>
      </c>
      <c r="AE9" s="27">
        <v>96.060903443140802</v>
      </c>
      <c r="AF9" s="27">
        <v>99.039831285770731</v>
      </c>
      <c r="AG9" s="27">
        <v>100.17759491030797</v>
      </c>
      <c r="AH9" s="27">
        <v>108.04431570337744</v>
      </c>
      <c r="AI9" s="27">
        <v>102.34534323264481</v>
      </c>
      <c r="AJ9" s="27">
        <v>107.22498375060827</v>
      </c>
    </row>
    <row r="10" spans="1:37" s="11" customFormat="1" x14ac:dyDescent="0.25">
      <c r="A10" s="21" t="s">
        <v>219</v>
      </c>
      <c r="B10" s="22">
        <v>70.831613448245761</v>
      </c>
      <c r="C10" s="22">
        <v>73.352996790960432</v>
      </c>
      <c r="D10" s="22">
        <v>73.856458883861663</v>
      </c>
      <c r="E10" s="22">
        <v>69.475081919024973</v>
      </c>
      <c r="F10" s="22">
        <v>71.042607641584894</v>
      </c>
      <c r="G10" s="22">
        <v>69.038493597117096</v>
      </c>
      <c r="H10" s="22">
        <v>67.293573536978755</v>
      </c>
      <c r="I10" s="22">
        <v>72.462970807913862</v>
      </c>
      <c r="J10" s="22">
        <v>73.117254149988497</v>
      </c>
      <c r="K10" s="22">
        <v>71.293649812876779</v>
      </c>
      <c r="L10" s="22">
        <v>77.491193030136074</v>
      </c>
      <c r="M10" s="22">
        <v>67.050384817254653</v>
      </c>
      <c r="N10" s="22">
        <v>71.70782519623161</v>
      </c>
      <c r="O10" s="22">
        <v>66.640415252358324</v>
      </c>
      <c r="P10" s="22">
        <v>70.097751247641398</v>
      </c>
      <c r="Q10" s="22">
        <v>72.681706851187826</v>
      </c>
      <c r="R10" s="22">
        <v>73.063073536978749</v>
      </c>
      <c r="S10" s="22">
        <v>74.983754149988485</v>
      </c>
      <c r="T10" s="22">
        <v>72.296780088173534</v>
      </c>
      <c r="U10" s="22">
        <v>71.235881077139808</v>
      </c>
      <c r="V10" s="22">
        <v>69.081567295396823</v>
      </c>
      <c r="W10" s="22">
        <v>69.752601801005227</v>
      </c>
      <c r="X10" s="22">
        <v>72.50925783475445</v>
      </c>
      <c r="Y10" s="22">
        <v>67.807406870312079</v>
      </c>
      <c r="Z10" s="22">
        <v>77.143452833245888</v>
      </c>
      <c r="AA10" s="22">
        <v>71.570580279970628</v>
      </c>
      <c r="AB10" s="22">
        <v>66.785631077139811</v>
      </c>
      <c r="AC10" s="22">
        <v>67.287631077139807</v>
      </c>
      <c r="AD10" s="22">
        <v>66.712886875657844</v>
      </c>
      <c r="AE10" s="22">
        <v>74.660619501699315</v>
      </c>
      <c r="AF10" s="22">
        <v>77.950743392262538</v>
      </c>
      <c r="AG10" s="22">
        <v>72.451990903282066</v>
      </c>
      <c r="AH10" s="22">
        <v>67.498600918963618</v>
      </c>
      <c r="AI10" s="22">
        <v>68.488017926489164</v>
      </c>
      <c r="AJ10" s="22">
        <v>65.488547743806478</v>
      </c>
    </row>
    <row r="11" spans="1:37" s="11" customFormat="1" x14ac:dyDescent="0.25">
      <c r="A11" s="19" t="s">
        <v>220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</row>
    <row r="12" spans="1:37" s="11" customFormat="1" x14ac:dyDescent="0.25">
      <c r="A12" s="21" t="s">
        <v>221</v>
      </c>
      <c r="B12" s="22">
        <v>100</v>
      </c>
      <c r="C12" s="22">
        <v>96.906190156614954</v>
      </c>
      <c r="D12" s="22">
        <v>101.41276161288012</v>
      </c>
      <c r="E12" s="22">
        <v>102.571448936632</v>
      </c>
      <c r="F12" s="22">
        <v>98.015647575797928</v>
      </c>
      <c r="G12" s="22">
        <v>96.92954366011044</v>
      </c>
      <c r="H12" s="22">
        <v>102.05131921416633</v>
      </c>
      <c r="I12" s="22">
        <v>97.263841872804207</v>
      </c>
      <c r="J12" s="22">
        <v>95.025337141429915</v>
      </c>
      <c r="K12" s="22">
        <v>101.66174861352103</v>
      </c>
      <c r="L12" s="22">
        <v>95.330668170132938</v>
      </c>
      <c r="M12" s="22">
        <v>101.24507505642202</v>
      </c>
      <c r="N12" s="22">
        <v>99.225233916382336</v>
      </c>
      <c r="O12" s="22">
        <v>101.76164958459329</v>
      </c>
      <c r="P12" s="22">
        <v>103.0341074999026</v>
      </c>
      <c r="Q12" s="22">
        <v>99.673447375021041</v>
      </c>
      <c r="R12" s="22">
        <v>103.28334927736999</v>
      </c>
      <c r="S12" s="22">
        <v>95.732423783057627</v>
      </c>
      <c r="T12" s="22">
        <v>97.844155692215111</v>
      </c>
      <c r="U12" s="22">
        <v>98.278158254116278</v>
      </c>
      <c r="V12" s="22">
        <v>98.99931562508587</v>
      </c>
      <c r="W12" s="22">
        <v>92.321959601486157</v>
      </c>
      <c r="X12" s="22">
        <v>99.905806902896117</v>
      </c>
      <c r="Y12" s="22">
        <v>99.940704446998708</v>
      </c>
      <c r="Z12" s="22">
        <v>94.847453184706183</v>
      </c>
      <c r="AA12" s="22">
        <v>99.45234304551056</v>
      </c>
      <c r="AB12" s="22">
        <v>97.846005464635923</v>
      </c>
      <c r="AC12" s="22">
        <v>96.605266908152885</v>
      </c>
      <c r="AD12" s="22">
        <v>99.899885255189915</v>
      </c>
      <c r="AE12" s="22">
        <v>94.044619524880929</v>
      </c>
      <c r="AF12" s="22">
        <v>92.367616955397438</v>
      </c>
      <c r="AG12" s="22">
        <v>95.251241955580312</v>
      </c>
      <c r="AH12" s="22">
        <v>98.974167466888218</v>
      </c>
      <c r="AI12" s="22">
        <v>98.535130437125076</v>
      </c>
      <c r="AJ12" s="22">
        <v>95.500004848649453</v>
      </c>
    </row>
    <row r="13" spans="1:37" s="11" customFormat="1" x14ac:dyDescent="0.25">
      <c r="A13" s="28" t="s">
        <v>222</v>
      </c>
      <c r="B13" s="27">
        <v>100</v>
      </c>
      <c r="C13" s="22">
        <v>97.591336380139168</v>
      </c>
      <c r="D13" s="27">
        <v>103.23071234992737</v>
      </c>
      <c r="E13" s="27">
        <v>104.88461451451109</v>
      </c>
      <c r="F13" s="27">
        <v>98.38293596117397</v>
      </c>
      <c r="G13" s="27">
        <v>96.274652636565506</v>
      </c>
      <c r="H13" s="27">
        <v>102.71207707115869</v>
      </c>
      <c r="I13" s="27">
        <v>98.39114749441012</v>
      </c>
      <c r="J13" s="27">
        <v>94.390179437596544</v>
      </c>
      <c r="K13" s="27">
        <v>102.44037283937301</v>
      </c>
      <c r="L13" s="27">
        <v>97.906009005400705</v>
      </c>
      <c r="M13" s="27">
        <v>102.52540718046052</v>
      </c>
      <c r="N13" s="27">
        <v>101.50148082545086</v>
      </c>
      <c r="O13" s="27">
        <v>104.39970083481074</v>
      </c>
      <c r="P13" s="27">
        <v>104.87365990202075</v>
      </c>
      <c r="Q13" s="27">
        <v>100.84987530702584</v>
      </c>
      <c r="R13" s="27">
        <v>106.31372203322701</v>
      </c>
      <c r="S13" s="27">
        <v>95.943243893608184</v>
      </c>
      <c r="T13" s="27">
        <v>97.574755962727608</v>
      </c>
      <c r="U13" s="27">
        <v>97.989443664681147</v>
      </c>
      <c r="V13" s="27">
        <v>100.73895285458362</v>
      </c>
      <c r="W13" s="27">
        <v>92.244931875122788</v>
      </c>
      <c r="X13" s="27">
        <v>102.49002641359569</v>
      </c>
      <c r="Y13" s="27">
        <v>102.40054132638855</v>
      </c>
      <c r="Z13" s="27">
        <v>97.811957569798096</v>
      </c>
      <c r="AA13" s="27">
        <v>100.92852222708493</v>
      </c>
      <c r="AB13" s="27">
        <v>97.993060648307278</v>
      </c>
      <c r="AC13" s="27">
        <v>96.687907481603233</v>
      </c>
      <c r="AD13" s="27">
        <v>98.561662622077378</v>
      </c>
      <c r="AE13" s="27">
        <v>92.91057783418411</v>
      </c>
      <c r="AF13" s="27">
        <v>93.429690765187289</v>
      </c>
      <c r="AG13" s="27">
        <v>94.891423156501943</v>
      </c>
      <c r="AH13" s="27">
        <v>100.00883618133298</v>
      </c>
      <c r="AI13" s="27">
        <v>101.55925359335384</v>
      </c>
      <c r="AJ13" s="27">
        <v>96.420513190312604</v>
      </c>
    </row>
    <row r="14" spans="1:37" s="11" customFormat="1" x14ac:dyDescent="0.25">
      <c r="A14" s="21" t="s">
        <v>223</v>
      </c>
      <c r="B14" s="22">
        <v>100</v>
      </c>
      <c r="C14" s="22">
        <v>95.536186702627589</v>
      </c>
      <c r="D14" s="22">
        <v>101.49316977201259</v>
      </c>
      <c r="E14" s="22">
        <v>97.762156622672592</v>
      </c>
      <c r="F14" s="22">
        <v>99.135325291776283</v>
      </c>
      <c r="G14" s="22">
        <v>98.553619285933834</v>
      </c>
      <c r="H14" s="22">
        <v>103.21396792259769</v>
      </c>
      <c r="I14" s="22">
        <v>96.499656199762455</v>
      </c>
      <c r="J14" s="22">
        <v>94.89745698830356</v>
      </c>
      <c r="K14" s="22">
        <v>95.478696486217643</v>
      </c>
      <c r="L14" s="22">
        <v>99.680633647809032</v>
      </c>
      <c r="M14" s="22">
        <v>102.52642051052179</v>
      </c>
      <c r="N14" s="22">
        <v>99.560029536674662</v>
      </c>
      <c r="O14" s="22">
        <v>103.44777200649247</v>
      </c>
      <c r="P14" s="22">
        <v>103.60276593172989</v>
      </c>
      <c r="Q14" s="22">
        <v>98.75361419015691</v>
      </c>
      <c r="R14" s="22">
        <v>104.25538532214105</v>
      </c>
      <c r="S14" s="22">
        <v>93.230607351604277</v>
      </c>
      <c r="T14" s="22">
        <v>97.405264342822363</v>
      </c>
      <c r="U14" s="22">
        <v>98.134018488423038</v>
      </c>
      <c r="V14" s="22">
        <v>97.081437999432623</v>
      </c>
      <c r="W14" s="22">
        <v>91.911375051114547</v>
      </c>
      <c r="X14" s="22">
        <v>99.087510545682719</v>
      </c>
      <c r="Y14" s="22">
        <v>97.669438415531559</v>
      </c>
      <c r="Z14" s="22">
        <v>93.552876661985039</v>
      </c>
      <c r="AA14" s="22">
        <v>95.617798325126941</v>
      </c>
      <c r="AB14" s="22">
        <v>101.58310758542096</v>
      </c>
      <c r="AC14" s="22">
        <v>96.860851779297818</v>
      </c>
      <c r="AD14" s="22">
        <v>102.95713481999827</v>
      </c>
      <c r="AE14" s="22">
        <v>93.946710071288194</v>
      </c>
      <c r="AF14" s="22">
        <v>89.379344073076894</v>
      </c>
      <c r="AG14" s="22">
        <v>95.311361882912692</v>
      </c>
      <c r="AH14" s="22">
        <v>100.37198165098758</v>
      </c>
      <c r="AI14" s="22">
        <v>97.647524727133359</v>
      </c>
      <c r="AJ14" s="22">
        <v>93.004504481361153</v>
      </c>
    </row>
    <row r="15" spans="1:37" s="11" customFormat="1" x14ac:dyDescent="0.25">
      <c r="A15" s="24" t="s">
        <v>224</v>
      </c>
      <c r="B15" s="22">
        <v>100</v>
      </c>
      <c r="C15" s="30">
        <v>96.223980900464795</v>
      </c>
      <c r="D15" s="22">
        <v>101.44961535248251</v>
      </c>
      <c r="E15" s="22">
        <v>100.96835149864552</v>
      </c>
      <c r="F15" s="22">
        <v>98.532421906249482</v>
      </c>
      <c r="G15" s="22">
        <v>97.741581473022137</v>
      </c>
      <c r="H15" s="22">
        <v>102.51637869753887</v>
      </c>
      <c r="I15" s="22">
        <v>97.009113315123614</v>
      </c>
      <c r="J15" s="22">
        <v>94.964441830417371</v>
      </c>
      <c r="K15" s="22">
        <v>99.011869130391005</v>
      </c>
      <c r="L15" s="22">
        <v>96.780656662691641</v>
      </c>
      <c r="M15" s="22">
        <v>101.75761323806194</v>
      </c>
      <c r="N15" s="22">
        <v>99.392631726528492</v>
      </c>
      <c r="O15" s="22">
        <v>102.32369039189302</v>
      </c>
      <c r="P15" s="22">
        <v>103.31843671581623</v>
      </c>
      <c r="Q15" s="22">
        <v>99.213530782588975</v>
      </c>
      <c r="R15" s="22">
        <v>103.67216369527841</v>
      </c>
      <c r="S15" s="22">
        <v>94.5410826252227</v>
      </c>
      <c r="T15" s="22">
        <v>97.624710017518737</v>
      </c>
      <c r="U15" s="22">
        <v>98.219191986332675</v>
      </c>
      <c r="V15" s="22">
        <v>98.040376812259254</v>
      </c>
      <c r="W15" s="22">
        <v>92.128287643763713</v>
      </c>
      <c r="X15" s="22">
        <v>99.496658724289418</v>
      </c>
      <c r="Y15" s="22">
        <v>99.032198034411849</v>
      </c>
      <c r="Z15" s="22">
        <v>94.254105611792326</v>
      </c>
      <c r="AA15" s="22">
        <v>97.535070685318757</v>
      </c>
      <c r="AB15" s="22">
        <v>99.374819968593428</v>
      </c>
      <c r="AC15" s="22">
        <v>96.709824355439437</v>
      </c>
      <c r="AD15" s="22">
        <v>101.3011246390604</v>
      </c>
      <c r="AE15" s="22">
        <v>93.995664798084547</v>
      </c>
      <c r="AF15" s="22">
        <v>90.873480514237158</v>
      </c>
      <c r="AG15" s="22">
        <v>95.27879692227431</v>
      </c>
      <c r="AH15" s="22">
        <v>99.673074558937898</v>
      </c>
      <c r="AI15" s="22">
        <v>98.099396724947326</v>
      </c>
      <c r="AJ15" s="22">
        <v>94.47911833475878</v>
      </c>
    </row>
    <row r="16" spans="1:37" s="11" customFormat="1" x14ac:dyDescent="0.25">
      <c r="A16" s="21" t="s">
        <v>225</v>
      </c>
      <c r="B16" s="22">
        <v>66.243111205308352</v>
      </c>
      <c r="C16" s="22">
        <v>67.790995023422923</v>
      </c>
      <c r="D16" s="30">
        <v>70.335019878464919</v>
      </c>
      <c r="E16" s="30">
        <v>63.074101161701265</v>
      </c>
      <c r="F16" s="30">
        <v>64.82244387628181</v>
      </c>
      <c r="G16" s="22">
        <v>63.680308534707628</v>
      </c>
      <c r="H16" s="22">
        <v>61.841216806233767</v>
      </c>
      <c r="I16" s="30">
        <v>68.183267828367917</v>
      </c>
      <c r="J16" s="30">
        <v>68.810812526040152</v>
      </c>
      <c r="K16" s="30">
        <v>66.789425058158329</v>
      </c>
      <c r="L16" s="30">
        <v>70.279434495034593</v>
      </c>
      <c r="M16" s="30">
        <v>62.664137339292992</v>
      </c>
      <c r="N16" s="22">
        <v>65.789518726200754</v>
      </c>
      <c r="O16" s="30">
        <v>62.817601161701262</v>
      </c>
      <c r="P16" s="22">
        <v>66.333641050997741</v>
      </c>
      <c r="Q16" s="30">
        <v>68.168436831493096</v>
      </c>
      <c r="R16" s="22">
        <v>67.181383472900436</v>
      </c>
      <c r="S16" s="30">
        <v>71.572412526040154</v>
      </c>
      <c r="T16" s="30">
        <v>67.211992076232136</v>
      </c>
      <c r="U16" s="30">
        <v>65.417194392903397</v>
      </c>
      <c r="V16" s="22">
        <v>61.620277637819655</v>
      </c>
      <c r="W16" s="30">
        <v>61.831947123714848</v>
      </c>
      <c r="X16" s="30">
        <v>65.997918999445957</v>
      </c>
      <c r="Y16" s="22">
        <v>61.508716806233771</v>
      </c>
      <c r="Z16" s="30">
        <v>69.759918075908729</v>
      </c>
      <c r="AA16" s="30">
        <v>63.23617943080621</v>
      </c>
      <c r="AB16" s="30">
        <v>64.251416615125621</v>
      </c>
      <c r="AC16" s="30">
        <v>62.622305504014506</v>
      </c>
      <c r="AD16" s="30">
        <v>61.816393146819522</v>
      </c>
      <c r="AE16" s="30">
        <v>69.050873084316876</v>
      </c>
      <c r="AF16" s="30">
        <v>72.885205729114062</v>
      </c>
      <c r="AG16" s="30">
        <v>66.208346578646754</v>
      </c>
      <c r="AH16" s="22">
        <v>62.150133588634951</v>
      </c>
      <c r="AI16" s="22">
        <v>62.163888497549948</v>
      </c>
      <c r="AJ16" s="30">
        <v>61.98908328179229</v>
      </c>
    </row>
    <row r="17" spans="1:36" s="11" customFormat="1" x14ac:dyDescent="0.25">
      <c r="A17" s="19" t="s">
        <v>226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</row>
    <row r="18" spans="1:36" s="11" customFormat="1" x14ac:dyDescent="0.25">
      <c r="A18" s="21" t="s">
        <v>227</v>
      </c>
      <c r="B18" s="22">
        <v>100</v>
      </c>
      <c r="C18" s="22">
        <v>85.49408573032251</v>
      </c>
      <c r="D18" s="22">
        <v>89.91711520984741</v>
      </c>
      <c r="E18" s="22">
        <v>90.67386570505964</v>
      </c>
      <c r="F18" s="22">
        <v>93.70890412635238</v>
      </c>
      <c r="G18" s="22">
        <v>97.264237690519934</v>
      </c>
      <c r="H18" s="22">
        <v>91.933582099529318</v>
      </c>
      <c r="I18" s="22">
        <v>81.81228231700149</v>
      </c>
      <c r="J18" s="22">
        <v>80.285148386255401</v>
      </c>
      <c r="K18" s="22">
        <v>88.37426869726653</v>
      </c>
      <c r="L18" s="22">
        <v>87.418922311833512</v>
      </c>
      <c r="M18" s="22">
        <v>94.837068980777218</v>
      </c>
      <c r="N18" s="22">
        <v>81.115649780876694</v>
      </c>
      <c r="O18" s="22">
        <v>93.294095136606671</v>
      </c>
      <c r="P18" s="22">
        <v>95.305168635721884</v>
      </c>
      <c r="Q18" s="22">
        <v>99.35491288215708</v>
      </c>
      <c r="R18" s="22">
        <v>87.375241506035124</v>
      </c>
      <c r="S18" s="22">
        <v>91.441466866537922</v>
      </c>
      <c r="T18" s="22">
        <v>77.308050254217662</v>
      </c>
      <c r="U18" s="22">
        <v>82.28076535579406</v>
      </c>
      <c r="V18" s="22">
        <v>83.074718835674716</v>
      </c>
      <c r="W18" s="22">
        <v>85.813672269220504</v>
      </c>
      <c r="X18" s="22">
        <v>88.749006922724533</v>
      </c>
      <c r="Y18" s="22">
        <v>84.113756638373246</v>
      </c>
      <c r="Z18" s="22">
        <v>75.173796380051883</v>
      </c>
      <c r="AA18" s="22">
        <v>88.720696766114102</v>
      </c>
      <c r="AB18" s="22">
        <v>84.502264221670885</v>
      </c>
      <c r="AC18" s="22">
        <v>88.225105727673281</v>
      </c>
      <c r="AD18" s="22">
        <v>102.09433083697145</v>
      </c>
      <c r="AE18" s="22">
        <v>83.314768680165713</v>
      </c>
      <c r="AF18" s="22">
        <v>78.245326790055643</v>
      </c>
      <c r="AG18" s="22">
        <v>81.005712641335919</v>
      </c>
      <c r="AH18" s="22">
        <v>98.344472029146814</v>
      </c>
      <c r="AI18" s="22">
        <v>91.894649304873781</v>
      </c>
      <c r="AJ18" s="22">
        <v>85.393304975566551</v>
      </c>
    </row>
    <row r="19" spans="1:36" s="11" customFormat="1" x14ac:dyDescent="0.25">
      <c r="A19" s="21" t="s">
        <v>228</v>
      </c>
      <c r="B19" s="22">
        <v>100</v>
      </c>
      <c r="C19" s="22">
        <v>91.807166044472879</v>
      </c>
      <c r="D19" s="22">
        <v>98.294598735155731</v>
      </c>
      <c r="E19" s="22">
        <v>97.931092889473689</v>
      </c>
      <c r="F19" s="22">
        <v>99.087169063299157</v>
      </c>
      <c r="G19" s="22">
        <v>102.24329758355343</v>
      </c>
      <c r="H19" s="22">
        <v>101.91051119394115</v>
      </c>
      <c r="I19" s="22">
        <v>89.281830954237307</v>
      </c>
      <c r="J19" s="22">
        <v>87.681219606746978</v>
      </c>
      <c r="K19" s="22">
        <v>96.297654553689597</v>
      </c>
      <c r="L19" s="22">
        <v>92.990563321325851</v>
      </c>
      <c r="M19" s="22">
        <v>99.299805722171882</v>
      </c>
      <c r="N19" s="22">
        <v>92.406256328269691</v>
      </c>
      <c r="O19" s="22">
        <v>96.788234114483615</v>
      </c>
      <c r="P19" s="22">
        <v>101.32052152938822</v>
      </c>
      <c r="Q19" s="22">
        <v>100.64214924896034</v>
      </c>
      <c r="R19" s="22">
        <v>95.433570315446616</v>
      </c>
      <c r="S19" s="22">
        <v>96.614195121144334</v>
      </c>
      <c r="T19" s="22">
        <v>85.917701824885057</v>
      </c>
      <c r="U19" s="22">
        <v>87.641536835522174</v>
      </c>
      <c r="V19" s="22">
        <v>87.922156452131873</v>
      </c>
      <c r="W19" s="22">
        <v>88.266837965638231</v>
      </c>
      <c r="X19" s="22">
        <v>94.759677457266505</v>
      </c>
      <c r="Y19" s="22">
        <v>92.271809268684095</v>
      </c>
      <c r="Z19" s="22">
        <v>83.716430106661136</v>
      </c>
      <c r="AA19" s="22">
        <v>94.245986636461993</v>
      </c>
      <c r="AB19" s="22">
        <v>91.1801744627532</v>
      </c>
      <c r="AC19" s="22">
        <v>91.020085295828537</v>
      </c>
      <c r="AD19" s="22">
        <v>102.25689552819863</v>
      </c>
      <c r="AE19" s="22">
        <v>88.094797048387264</v>
      </c>
      <c r="AF19" s="22">
        <v>84.344212601506115</v>
      </c>
      <c r="AG19" s="22">
        <v>87.429140127369706</v>
      </c>
      <c r="AH19" s="22">
        <v>99.089048720944405</v>
      </c>
      <c r="AI19" s="22">
        <v>95.34824638358991</v>
      </c>
      <c r="AJ19" s="22">
        <v>91.110135452223673</v>
      </c>
    </row>
    <row r="20" spans="1:36" s="11" customFormat="1" x14ac:dyDescent="0.25">
      <c r="A20" s="21" t="s">
        <v>229</v>
      </c>
      <c r="B20" s="22">
        <v>100</v>
      </c>
      <c r="C20" s="22">
        <v>103.92100232297558</v>
      </c>
      <c r="D20" s="22">
        <v>100.73993383489558</v>
      </c>
      <c r="E20" s="22">
        <v>110.86363018058816</v>
      </c>
      <c r="F20" s="22">
        <v>103.53262291921143</v>
      </c>
      <c r="G20" s="22">
        <v>105.90170962028033</v>
      </c>
      <c r="H20" s="22">
        <v>116.17312518659682</v>
      </c>
      <c r="I20" s="22">
        <v>104.50877457553689</v>
      </c>
      <c r="J20" s="22">
        <v>103.34502180111936</v>
      </c>
      <c r="K20" s="22">
        <v>104.8256740976697</v>
      </c>
      <c r="L20" s="22">
        <v>104.8539857737085</v>
      </c>
      <c r="M20" s="22">
        <v>101.91534221793255</v>
      </c>
      <c r="N20" s="22">
        <v>109.07375551613995</v>
      </c>
      <c r="O20" s="22">
        <v>106.11604821863691</v>
      </c>
      <c r="P20" s="22">
        <v>105.56026818743395</v>
      </c>
      <c r="Q20" s="22">
        <v>99.558137702883002</v>
      </c>
      <c r="R20" s="22">
        <v>106.74106438494073</v>
      </c>
      <c r="S20" s="22">
        <v>101.8650679870224</v>
      </c>
      <c r="T20" s="22">
        <v>103.19576312669236</v>
      </c>
      <c r="U20" s="22">
        <v>103.91324489456512</v>
      </c>
      <c r="V20" s="22">
        <v>110.42159800996963</v>
      </c>
      <c r="W20" s="22">
        <v>100.50530657965955</v>
      </c>
      <c r="X20" s="22">
        <v>100.66903308026663</v>
      </c>
      <c r="Y20" s="22">
        <v>111.62970038485459</v>
      </c>
      <c r="Z20" s="22">
        <v>106.75223929923381</v>
      </c>
      <c r="AA20" s="22">
        <v>109.73780653436128</v>
      </c>
      <c r="AB20" s="22">
        <v>110.63651137508442</v>
      </c>
      <c r="AC20" s="22">
        <v>108.47894138651199</v>
      </c>
      <c r="AD20" s="22">
        <v>113.66422442773923</v>
      </c>
      <c r="AE20" s="22">
        <v>106.66125123346471</v>
      </c>
      <c r="AF20" s="22">
        <v>105.1017008121555</v>
      </c>
      <c r="AG20" s="22">
        <v>109.6220580513027</v>
      </c>
      <c r="AH20" s="22">
        <v>115.94064659585918</v>
      </c>
      <c r="AI20" s="22">
        <v>109.74859708528099</v>
      </c>
      <c r="AJ20" s="22">
        <v>113.0808293750413</v>
      </c>
    </row>
    <row r="21" spans="1:36" s="11" customFormat="1" x14ac:dyDescent="0.25">
      <c r="A21" s="21" t="s">
        <v>230</v>
      </c>
      <c r="B21" s="22">
        <v>100</v>
      </c>
      <c r="C21" s="22">
        <v>99.549440240102925</v>
      </c>
      <c r="D21" s="22">
        <v>103.00746713853924</v>
      </c>
      <c r="E21" s="22">
        <v>118.29412536944051</v>
      </c>
      <c r="F21" s="22">
        <v>98.835633551603181</v>
      </c>
      <c r="G21" s="22">
        <v>109.87623234442067</v>
      </c>
      <c r="H21" s="22">
        <v>104.78017475300813</v>
      </c>
      <c r="I21" s="22">
        <v>102.51730614409703</v>
      </c>
      <c r="J21" s="22">
        <v>101.13328533736004</v>
      </c>
      <c r="K21" s="22">
        <v>97.819640624651996</v>
      </c>
      <c r="L21" s="22">
        <v>94.147005649193886</v>
      </c>
      <c r="M21" s="22">
        <v>101.90499723508128</v>
      </c>
      <c r="N21" s="22">
        <v>96.161322514316112</v>
      </c>
      <c r="O21" s="22">
        <v>112.35372362070326</v>
      </c>
      <c r="P21" s="22">
        <v>98.205708562244823</v>
      </c>
      <c r="Q21" s="22">
        <v>98.86222817370151</v>
      </c>
      <c r="R21" s="22">
        <v>105.23811713547454</v>
      </c>
      <c r="S21" s="22">
        <v>98.625505118567503</v>
      </c>
      <c r="T21" s="22">
        <v>95.704802498820214</v>
      </c>
      <c r="U21" s="22">
        <v>101.71040616884936</v>
      </c>
      <c r="V21" s="22">
        <v>99.922992842504911</v>
      </c>
      <c r="W21" s="22">
        <v>99.351195952237418</v>
      </c>
      <c r="X21" s="22">
        <v>99.656790734870924</v>
      </c>
      <c r="Y21" s="22">
        <v>108.14464999882554</v>
      </c>
      <c r="Z21" s="22">
        <v>96.843156438170908</v>
      </c>
      <c r="AA21" s="22">
        <v>103.812253331522</v>
      </c>
      <c r="AB21" s="22">
        <v>110.65260381555393</v>
      </c>
      <c r="AC21" s="22">
        <v>105.91600028154193</v>
      </c>
      <c r="AD21" s="22">
        <v>110.88516805814744</v>
      </c>
      <c r="AE21" s="22">
        <v>99.404282528801048</v>
      </c>
      <c r="AF21" s="22">
        <v>99.077811107976615</v>
      </c>
      <c r="AG21" s="22">
        <v>106.11493386381532</v>
      </c>
      <c r="AH21" s="22">
        <v>114.91126312531932</v>
      </c>
      <c r="AI21" s="22">
        <v>105.02163724046368</v>
      </c>
      <c r="AJ21" s="22">
        <v>112.44104335184548</v>
      </c>
    </row>
    <row r="22" spans="1:36" s="11" customFormat="1" x14ac:dyDescent="0.25">
      <c r="A22" s="21" t="s">
        <v>231</v>
      </c>
      <c r="B22" s="22">
        <v>100</v>
      </c>
      <c r="C22" s="22">
        <v>97.727807212557636</v>
      </c>
      <c r="D22" s="22">
        <v>104.96859176234369</v>
      </c>
      <c r="E22" s="22">
        <v>108.89861810992171</v>
      </c>
      <c r="F22" s="22">
        <v>95.95967986409542</v>
      </c>
      <c r="G22" s="22">
        <v>115.51026078120893</v>
      </c>
      <c r="H22" s="22">
        <v>100.48080804395849</v>
      </c>
      <c r="I22" s="22">
        <v>94.831709307791229</v>
      </c>
      <c r="J22" s="22">
        <v>92.149018202761525</v>
      </c>
      <c r="K22" s="22">
        <v>103.11187758181063</v>
      </c>
      <c r="L22" s="22">
        <v>87.385034023546538</v>
      </c>
      <c r="M22" s="22">
        <v>102.719504165518</v>
      </c>
      <c r="N22" s="22">
        <v>95.200671890960251</v>
      </c>
      <c r="O22" s="22">
        <v>101.13876489316206</v>
      </c>
      <c r="P22" s="22">
        <v>101.91833849215102</v>
      </c>
      <c r="Q22" s="22">
        <v>97.847591445486856</v>
      </c>
      <c r="R22" s="22">
        <v>109.17149567124875</v>
      </c>
      <c r="S22" s="22">
        <v>102.41342494093951</v>
      </c>
      <c r="T22" s="22">
        <v>91.447070485256177</v>
      </c>
      <c r="U22" s="22">
        <v>96.070284372337142</v>
      </c>
      <c r="V22" s="22">
        <v>90.40904950052969</v>
      </c>
      <c r="W22" s="22">
        <v>95.289675295483789</v>
      </c>
      <c r="X22" s="22">
        <v>99.614541626268348</v>
      </c>
      <c r="Y22" s="22">
        <v>100.37641539978684</v>
      </c>
      <c r="Z22" s="22">
        <v>94.833014989999512</v>
      </c>
      <c r="AA22" s="22">
        <v>105.20554661277272</v>
      </c>
      <c r="AB22" s="22">
        <v>97.757174606977358</v>
      </c>
      <c r="AC22" s="22">
        <v>102.7609039101316</v>
      </c>
      <c r="AD22" s="22">
        <v>104.17852936364585</v>
      </c>
      <c r="AE22" s="22">
        <v>95.918700210062454</v>
      </c>
      <c r="AF22" s="22">
        <v>97.305368755809866</v>
      </c>
      <c r="AG22" s="22">
        <v>100.61968905973214</v>
      </c>
      <c r="AH22" s="22">
        <v>113.75646446142969</v>
      </c>
      <c r="AI22" s="22">
        <v>97.850557368868678</v>
      </c>
      <c r="AJ22" s="22">
        <v>103.82143822687739</v>
      </c>
    </row>
    <row r="23" spans="1:36" s="11" customFormat="1" x14ac:dyDescent="0.25">
      <c r="A23" s="32" t="s">
        <v>232</v>
      </c>
      <c r="B23" s="22"/>
      <c r="C23" s="22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</row>
    <row r="24" spans="1:36" s="11" customFormat="1" x14ac:dyDescent="0.25">
      <c r="A24" s="21" t="s">
        <v>233</v>
      </c>
      <c r="B24" s="22">
        <v>100</v>
      </c>
      <c r="C24" s="22">
        <v>100.85400995657024</v>
      </c>
      <c r="D24" s="22">
        <v>108.47429009789049</v>
      </c>
      <c r="E24" s="22">
        <v>102.80331246050704</v>
      </c>
      <c r="F24" s="22">
        <v>104.45377329450531</v>
      </c>
      <c r="G24" s="22">
        <v>96.314219111164462</v>
      </c>
      <c r="H24" s="22">
        <v>104.81516111936429</v>
      </c>
      <c r="I24" s="22">
        <v>102.40889853661716</v>
      </c>
      <c r="J24" s="22">
        <v>98.79221661188879</v>
      </c>
      <c r="K24" s="22">
        <v>105.83440291045143</v>
      </c>
      <c r="L24" s="22">
        <v>100.77969137657308</v>
      </c>
      <c r="M24" s="22">
        <v>112.43366867322027</v>
      </c>
      <c r="N24" s="22">
        <v>105.20894195509382</v>
      </c>
      <c r="O24" s="22">
        <v>104.77794457965305</v>
      </c>
      <c r="P24" s="22">
        <v>113.66627624786855</v>
      </c>
      <c r="Q24" s="22">
        <v>103.69625316360698</v>
      </c>
      <c r="R24" s="22">
        <v>109.97365389095502</v>
      </c>
      <c r="S24" s="22">
        <v>101.37801998220193</v>
      </c>
      <c r="T24" s="22">
        <v>100.21355982595563</v>
      </c>
      <c r="U24" s="22">
        <v>101.42076850655231</v>
      </c>
      <c r="V24" s="22">
        <v>102.58108344270119</v>
      </c>
      <c r="W24" s="22">
        <v>89.964239348292082</v>
      </c>
      <c r="X24" s="22">
        <v>110.27562186990806</v>
      </c>
      <c r="Y24" s="22">
        <v>103.22071351402819</v>
      </c>
      <c r="Z24" s="22">
        <v>99.946517210514472</v>
      </c>
      <c r="AA24" s="22">
        <v>99.387349629660733</v>
      </c>
      <c r="AB24" s="22">
        <v>99.174873184229568</v>
      </c>
      <c r="AC24" s="22">
        <v>97.647804247386489</v>
      </c>
      <c r="AD24" s="22">
        <v>98.879371748628515</v>
      </c>
      <c r="AE24" s="22">
        <v>89.244674359958708</v>
      </c>
      <c r="AF24" s="22">
        <v>91.477546154411655</v>
      </c>
      <c r="AG24" s="22">
        <v>93.265432339785903</v>
      </c>
      <c r="AH24" s="22">
        <v>97.93893435997569</v>
      </c>
      <c r="AI24" s="22">
        <v>97.932513037206562</v>
      </c>
      <c r="AJ24" s="22">
        <v>85.916409312846667</v>
      </c>
    </row>
    <row r="25" spans="1:36" s="69" customFormat="1" x14ac:dyDescent="0.25">
      <c r="A25" s="24" t="s">
        <v>286</v>
      </c>
      <c r="B25" s="25">
        <f>65+6.751636853557</f>
        <v>71.751636853557002</v>
      </c>
      <c r="C25" s="25">
        <f>65+5.80242024170866</f>
        <v>70.80242024170866</v>
      </c>
      <c r="D25" s="25">
        <f>65+5.90904999999999</f>
        <v>70.909049999999993</v>
      </c>
      <c r="E25" s="25">
        <f>65+7.14149999999999</f>
        <v>72.141499999999994</v>
      </c>
      <c r="F25" s="25">
        <f>65+4.73181</f>
        <v>69.731809999999996</v>
      </c>
      <c r="G25" s="25">
        <f>65+6.84681</f>
        <v>71.846810000000005</v>
      </c>
      <c r="H25" s="25">
        <f>65+4.94059</f>
        <v>69.94059</v>
      </c>
      <c r="I25" s="25">
        <f>65+4.99317000000001</f>
        <v>69.993170000000006</v>
      </c>
      <c r="J25" s="25">
        <f>65+4.89308</f>
        <v>69.893079999999998</v>
      </c>
      <c r="K25" s="25">
        <f>65+6.72272</f>
        <v>71.722719999999995</v>
      </c>
      <c r="L25" s="25">
        <f>65+5.54984</f>
        <v>70.549840000000003</v>
      </c>
      <c r="M25" s="25">
        <f>65+3.4045</f>
        <v>68.404499999999999</v>
      </c>
      <c r="N25" s="25">
        <f>65+4.68763</f>
        <v>69.687629999999999</v>
      </c>
      <c r="O25" s="25">
        <f>65+6.53149999999999</f>
        <v>71.531499999999994</v>
      </c>
      <c r="P25" s="25">
        <f>65+5.06023999999999</f>
        <v>70.060239999999993</v>
      </c>
      <c r="Q25" s="25">
        <f>65+5.66804</f>
        <v>70.668040000000005</v>
      </c>
      <c r="R25" s="25">
        <f>65+4.92059</f>
        <v>69.920590000000004</v>
      </c>
      <c r="S25" s="25">
        <f>65+4.99399</f>
        <v>69.993989999999997</v>
      </c>
      <c r="T25" s="25">
        <f>65+5.07888</f>
        <v>70.078879999999998</v>
      </c>
      <c r="U25" s="25">
        <f>65+4.78776999999999</f>
        <v>69.787769999999995</v>
      </c>
      <c r="V25" s="25">
        <f>65+5.99126</f>
        <v>70.991259999999997</v>
      </c>
      <c r="W25" s="25">
        <f>65+6.71760999999999</f>
        <v>71.717609999999993</v>
      </c>
      <c r="X25" s="25">
        <f>65+5.45473</f>
        <v>70.454729999999998</v>
      </c>
      <c r="Y25" s="25">
        <f>65+7.33393</f>
        <v>72.333929999999995</v>
      </c>
      <c r="Z25" s="25">
        <f>65+6.96935999999999</f>
        <v>71.969359999999995</v>
      </c>
      <c r="AA25" s="25">
        <f>65+6.74297</f>
        <v>71.74297</v>
      </c>
      <c r="AB25" s="25">
        <f>65+5.58426</f>
        <v>70.58426</v>
      </c>
      <c r="AC25" s="25">
        <f>65+6.20041000000001</f>
        <v>71.200410000000005</v>
      </c>
      <c r="AD25" s="25">
        <f>65+5.99836000000001</f>
        <v>70.998360000000005</v>
      </c>
      <c r="AE25" s="25">
        <f>65+6.4192</f>
        <v>71.419200000000004</v>
      </c>
      <c r="AF25" s="25">
        <f>65+8.72147</f>
        <v>73.721469999999997</v>
      </c>
      <c r="AG25" s="25">
        <f>65+6.38001</f>
        <v>71.380009999999999</v>
      </c>
      <c r="AH25" s="25">
        <f>65+6.88903999999999</f>
        <v>71.889039999999994</v>
      </c>
      <c r="AI25" s="25">
        <f>65+7.98161</f>
        <v>72.981610000000003</v>
      </c>
      <c r="AJ25" s="25">
        <f>65+9.70178</f>
        <v>74.701779999999999</v>
      </c>
    </row>
    <row r="26" spans="1:36" s="11" customFormat="1" x14ac:dyDescent="0.25">
      <c r="A26" s="21" t="s">
        <v>235</v>
      </c>
      <c r="B26" s="22">
        <v>100</v>
      </c>
      <c r="C26" s="22">
        <v>88.55592003440924</v>
      </c>
      <c r="D26" s="22">
        <v>89.672414629830868</v>
      </c>
      <c r="E26" s="22">
        <v>98.595078822498849</v>
      </c>
      <c r="F26" s="22">
        <v>86.415689194102086</v>
      </c>
      <c r="G26" s="22">
        <v>85.185074565835222</v>
      </c>
      <c r="H26" s="22">
        <v>100.70140232230335</v>
      </c>
      <c r="I26" s="22">
        <v>89.689731816219449</v>
      </c>
      <c r="J26" s="22">
        <v>87.146970156112829</v>
      </c>
      <c r="K26" s="22">
        <v>86.227614249737073</v>
      </c>
      <c r="L26" s="22">
        <v>90.242272376713998</v>
      </c>
      <c r="M26" s="22">
        <v>86.646348966705133</v>
      </c>
      <c r="N26" s="22">
        <v>96.766345314172</v>
      </c>
      <c r="O26" s="22">
        <v>95.443350899780285</v>
      </c>
      <c r="P26" s="22">
        <v>87.36742630773972</v>
      </c>
      <c r="Q26" s="22">
        <v>90.977126215470335</v>
      </c>
      <c r="R26" s="22">
        <v>96.11279856243705</v>
      </c>
      <c r="S26" s="22">
        <v>83.416082131741049</v>
      </c>
      <c r="T26" s="22">
        <v>91.283041716282426</v>
      </c>
      <c r="U26" s="22">
        <v>91.747451317052324</v>
      </c>
      <c r="V26" s="22">
        <v>93.309345652217118</v>
      </c>
      <c r="W26" s="22">
        <v>89.938577853338359</v>
      </c>
      <c r="X26" s="22">
        <v>84.817357953747958</v>
      </c>
      <c r="Y26" s="22">
        <v>92.87252123496954</v>
      </c>
      <c r="Z26" s="22">
        <v>87.684189191103769</v>
      </c>
      <c r="AA26" s="22">
        <v>99.99796404844524</v>
      </c>
      <c r="AB26" s="22">
        <v>94.842463844944405</v>
      </c>
      <c r="AC26" s="22">
        <v>91.935622825653695</v>
      </c>
      <c r="AD26" s="22">
        <v>96.110030387661183</v>
      </c>
      <c r="AE26" s="22">
        <v>96.132594230892394</v>
      </c>
      <c r="AF26" s="22">
        <v>86.814370737984518</v>
      </c>
      <c r="AG26" s="22">
        <v>94.262949674424519</v>
      </c>
      <c r="AH26" s="22">
        <v>99.727648562773936</v>
      </c>
      <c r="AI26" s="22">
        <v>101.9435724708555</v>
      </c>
      <c r="AJ26" s="22">
        <v>102.46608155383983</v>
      </c>
    </row>
    <row r="27" spans="1:36" s="11" customFormat="1" x14ac:dyDescent="0.25">
      <c r="A27" s="24" t="s">
        <v>307</v>
      </c>
      <c r="B27" s="25">
        <f>65+7.7150581746045</f>
        <v>72.715058174604494</v>
      </c>
      <c r="C27" s="25">
        <f>65+8.0902564732605</f>
        <v>73.090256473260496</v>
      </c>
      <c r="D27" s="25">
        <f>65+7.94767326385916</f>
        <v>72.947673263859159</v>
      </c>
      <c r="E27" s="25">
        <f>65+10.5266281849868</f>
        <v>75.526628184986805</v>
      </c>
      <c r="F27" s="25">
        <f>65+8.52256673458218</f>
        <v>73.522566734582185</v>
      </c>
      <c r="G27" s="25">
        <f>65+11.0978132950093</f>
        <v>76.097813295009303</v>
      </c>
      <c r="H27" s="25">
        <f>65+6.38894944986774</f>
        <v>71.388949449867738</v>
      </c>
      <c r="I27" s="25">
        <f>65+8.0549615183202</f>
        <v>73.054961518320198</v>
      </c>
      <c r="J27" s="25">
        <f>65+7.58654761019616</f>
        <v>72.586547610196163</v>
      </c>
      <c r="K27" s="25">
        <f>65+10.645253806816</f>
        <v>75.645253806816001</v>
      </c>
      <c r="L27" s="25">
        <f>65+7.90412818498683</f>
        <v>72.904128184986831</v>
      </c>
      <c r="M27" s="25">
        <f>65+7.57476733094762</f>
        <v>72.574767330947623</v>
      </c>
      <c r="N27" s="25">
        <f>65+7.33446335737834</f>
        <v>72.33446335737834</v>
      </c>
      <c r="O27" s="25">
        <f>65+9.92329485165351</f>
        <v>74.923294851653509</v>
      </c>
      <c r="P27" s="25">
        <f>65+8.87238710540107</f>
        <v>73.872387105401074</v>
      </c>
      <c r="Q27" s="25">
        <f>65+9.51600363869103</f>
        <v>74.516003638691032</v>
      </c>
      <c r="R27" s="25">
        <f>65+9.3789494498677</f>
        <v>74.378949449867704</v>
      </c>
      <c r="S27" s="25">
        <f>65+8.76472942837796</f>
        <v>73.764729428377962</v>
      </c>
      <c r="T27" s="25">
        <f>65+8.2610907213005</f>
        <v>73.261090721300505</v>
      </c>
      <c r="U27" s="25">
        <f>65+8.13850418824154</f>
        <v>73.138504188241541</v>
      </c>
      <c r="V27" s="25">
        <f>65+8.31972909913408</f>
        <v>73.319729099134079</v>
      </c>
      <c r="W27" s="25">
        <f>65+9.94029942460904</f>
        <v>74.940299424609037</v>
      </c>
      <c r="X27" s="25">
        <f>65+8.35156618848397</f>
        <v>73.351566188483972</v>
      </c>
      <c r="Y27" s="25">
        <f>65+9.61783833875661</f>
        <v>74.617838338756613</v>
      </c>
      <c r="Z27" s="25">
        <f>65+8.6388420689747</f>
        <v>73.638842068974697</v>
      </c>
      <c r="AA27" s="25">
        <f>65+7.20484283274877</f>
        <v>72.204842832748767</v>
      </c>
      <c r="AB27" s="25">
        <f>65+7.89432237062709</f>
        <v>72.894322370627094</v>
      </c>
      <c r="AC27" s="25">
        <f>65+7.71366215918138</f>
        <v>72.713662159181382</v>
      </c>
      <c r="AD27" s="25">
        <f>65+7.10410614992044</f>
        <v>72.10410614992044</v>
      </c>
      <c r="AE27" s="25">
        <f>65+7.50620095218453</f>
        <v>72.506200952184528</v>
      </c>
      <c r="AF27" s="25">
        <f>65+7.94045179713373</f>
        <v>72.940451797133733</v>
      </c>
      <c r="AG27" s="25">
        <f>65+8.25164484107403</f>
        <v>73.251644841074025</v>
      </c>
      <c r="AH27" s="25">
        <f>65+6.83252756268422</f>
        <v>71.83252756268422</v>
      </c>
      <c r="AI27" s="25">
        <f>65+7.18633110242982</f>
        <v>72.186331102429818</v>
      </c>
      <c r="AJ27" s="25">
        <f>65+9.59624578792284</f>
        <v>74.59624578792284</v>
      </c>
    </row>
    <row r="28" spans="1:36" s="11" customFormat="1" x14ac:dyDescent="0.25">
      <c r="A28" s="21" t="s">
        <v>237</v>
      </c>
      <c r="B28" s="22">
        <v>100</v>
      </c>
      <c r="C28" s="22">
        <v>93.401207077729353</v>
      </c>
      <c r="D28" s="22">
        <v>95.048839261896575</v>
      </c>
      <c r="E28" s="22">
        <v>102.29846020117419</v>
      </c>
      <c r="F28" s="22">
        <v>93.97273596230815</v>
      </c>
      <c r="G28" s="22">
        <v>101.14624529720524</v>
      </c>
      <c r="H28" s="22">
        <v>97.848463396807247</v>
      </c>
      <c r="I28" s="22">
        <v>91.876384552348981</v>
      </c>
      <c r="J28" s="22">
        <v>91.945856553981685</v>
      </c>
      <c r="K28" s="22">
        <v>103.61373924720442</v>
      </c>
      <c r="L28" s="22">
        <v>89.860121006043073</v>
      </c>
      <c r="M28" s="22">
        <v>90.510014325852367</v>
      </c>
      <c r="N28" s="22">
        <v>89.141093291520434</v>
      </c>
      <c r="O28" s="22">
        <v>98.841102763548591</v>
      </c>
      <c r="P28" s="22">
        <v>94.4240413897613</v>
      </c>
      <c r="Q28" s="22">
        <v>97.510631406146217</v>
      </c>
      <c r="R28" s="22">
        <v>95.389334596032739</v>
      </c>
      <c r="S28" s="22">
        <v>93.166680686344975</v>
      </c>
      <c r="T28" s="22">
        <v>97.574739208948756</v>
      </c>
      <c r="U28" s="22">
        <v>94.442384699047693</v>
      </c>
      <c r="V28" s="22">
        <v>97.095299871547169</v>
      </c>
      <c r="W28" s="22">
        <v>93.967146692198384</v>
      </c>
      <c r="X28" s="22">
        <v>91.398595737664351</v>
      </c>
      <c r="Y28" s="22">
        <v>98.273585532068367</v>
      </c>
      <c r="Z28" s="22">
        <v>89.52634029841461</v>
      </c>
      <c r="AA28" s="22">
        <v>96.241792067470911</v>
      </c>
      <c r="AB28" s="22">
        <v>94.3520560921732</v>
      </c>
      <c r="AC28" s="22">
        <v>94.355244601967343</v>
      </c>
      <c r="AD28" s="22">
        <v>100.07404323312967</v>
      </c>
      <c r="AE28" s="22">
        <v>97.936316219606297</v>
      </c>
      <c r="AF28" s="22">
        <v>89.507996989128216</v>
      </c>
      <c r="AG28" s="22">
        <v>97.511419155624765</v>
      </c>
      <c r="AH28" s="22">
        <v>92.123212722296756</v>
      </c>
      <c r="AI28" s="22">
        <v>94.782880033183858</v>
      </c>
      <c r="AJ28" s="22">
        <v>97.156031605155889</v>
      </c>
    </row>
    <row r="29" spans="1:36" s="11" customFormat="1" x14ac:dyDescent="0.25">
      <c r="A29" s="21" t="s">
        <v>238</v>
      </c>
      <c r="B29" s="22">
        <v>100</v>
      </c>
      <c r="C29" s="22">
        <v>99.606355807982339</v>
      </c>
      <c r="D29" s="22">
        <v>103.70984217579226</v>
      </c>
      <c r="E29" s="22">
        <v>106.1438339964117</v>
      </c>
      <c r="F29" s="22">
        <v>99.159439826246427</v>
      </c>
      <c r="G29" s="22">
        <v>106.12957101887901</v>
      </c>
      <c r="H29" s="22">
        <v>101.02309898474965</v>
      </c>
      <c r="I29" s="22">
        <v>98.116023698096129</v>
      </c>
      <c r="J29" s="22">
        <v>97.384762646677814</v>
      </c>
      <c r="K29" s="22">
        <v>106.59099037052806</v>
      </c>
      <c r="L29" s="22">
        <v>92.957278149005091</v>
      </c>
      <c r="M29" s="22">
        <v>100.75883002260059</v>
      </c>
      <c r="N29" s="22">
        <v>97.171404136266531</v>
      </c>
      <c r="O29" s="22">
        <v>103.92936168997142</v>
      </c>
      <c r="P29" s="22">
        <v>103.22819484890545</v>
      </c>
      <c r="Q29" s="22">
        <v>101.75671642438445</v>
      </c>
      <c r="R29" s="22">
        <v>102.91352481951374</v>
      </c>
      <c r="S29" s="22">
        <v>98.089747312330118</v>
      </c>
      <c r="T29" s="22">
        <v>99.147641552586862</v>
      </c>
      <c r="U29" s="22">
        <v>101.14113208860907</v>
      </c>
      <c r="V29" s="22">
        <v>98.180869108179536</v>
      </c>
      <c r="W29" s="22">
        <v>98.273789897966608</v>
      </c>
      <c r="X29" s="22">
        <v>100.00128550013793</v>
      </c>
      <c r="Y29" s="22">
        <v>101.39821295196215</v>
      </c>
      <c r="Z29" s="22">
        <v>95.430480280068437</v>
      </c>
      <c r="AA29" s="22">
        <v>101.72701369085941</v>
      </c>
      <c r="AB29" s="22">
        <v>100.84544066467559</v>
      </c>
      <c r="AC29" s="22">
        <v>100.70145184660494</v>
      </c>
      <c r="AD29" s="22">
        <v>105.89538824027616</v>
      </c>
      <c r="AE29" s="22">
        <v>98.737234634452648</v>
      </c>
      <c r="AF29" s="22">
        <v>101.73460012703794</v>
      </c>
      <c r="AG29" s="22">
        <v>98.503100590315327</v>
      </c>
      <c r="AH29" s="22">
        <v>106.1897384948042</v>
      </c>
      <c r="AI29" s="22">
        <v>99.381623008593394</v>
      </c>
      <c r="AJ29" s="22">
        <v>107.61291921356849</v>
      </c>
    </row>
    <row r="30" spans="1:36" s="11" customFormat="1" x14ac:dyDescent="0.25">
      <c r="A30" s="38" t="s">
        <v>239</v>
      </c>
      <c r="B30" s="81"/>
      <c r="C30" s="81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</row>
    <row r="31" spans="1:36" s="11" customFormat="1" x14ac:dyDescent="0.25">
      <c r="A31" s="39" t="s">
        <v>240</v>
      </c>
      <c r="B31" s="25">
        <v>7.4658701251157149</v>
      </c>
      <c r="C31" s="25">
        <v>7.4036283475681266</v>
      </c>
      <c r="D31" s="25">
        <v>7.5935574208146726</v>
      </c>
      <c r="E31" s="25">
        <v>7.6436089266782359</v>
      </c>
      <c r="F31" s="25">
        <v>7.3789974813800114</v>
      </c>
      <c r="G31" s="41" t="s">
        <v>18</v>
      </c>
      <c r="H31" s="25">
        <v>6.9270794973834979</v>
      </c>
      <c r="I31" s="25">
        <v>7.706108926678235</v>
      </c>
      <c r="J31" s="25">
        <v>7.1391601216916722</v>
      </c>
      <c r="K31" s="25">
        <v>7.6207177474704642</v>
      </c>
      <c r="L31" s="25">
        <v>7.6436089266782368</v>
      </c>
      <c r="M31" s="25">
        <v>7.6756948800444942</v>
      </c>
      <c r="N31" s="41" t="s">
        <v>18</v>
      </c>
      <c r="O31" s="25">
        <v>7.393608926678235</v>
      </c>
      <c r="P31" s="41" t="s">
        <v>18</v>
      </c>
      <c r="Q31" s="25">
        <v>7.4254935777495774</v>
      </c>
      <c r="R31" s="25">
        <v>7.5104128307168301</v>
      </c>
      <c r="S31" s="25">
        <v>7.5558267883583383</v>
      </c>
      <c r="T31" s="25">
        <v>7.170899515373109</v>
      </c>
      <c r="U31" s="25">
        <v>7.4857251564305898</v>
      </c>
      <c r="V31" s="41" t="s">
        <v>18</v>
      </c>
      <c r="W31" s="25">
        <v>7.1689271973090376</v>
      </c>
      <c r="X31" s="25">
        <v>7.3413785529575977</v>
      </c>
      <c r="Y31" s="25">
        <v>7.6770794973834979</v>
      </c>
      <c r="Z31" s="25">
        <v>7.3708313400634031</v>
      </c>
      <c r="AA31" s="25">
        <v>7.6292328487064385</v>
      </c>
      <c r="AB31" s="25">
        <v>7.298225156430588</v>
      </c>
      <c r="AC31" s="25">
        <v>6.860725156430588</v>
      </c>
      <c r="AD31" s="25">
        <v>7.4126491642887835</v>
      </c>
      <c r="AE31" s="25">
        <v>7.4245866323972907</v>
      </c>
      <c r="AF31" s="25">
        <v>7.6099031245097164</v>
      </c>
      <c r="AG31" s="25">
        <v>7.204466988514163</v>
      </c>
      <c r="AH31" s="41" t="s">
        <v>18</v>
      </c>
      <c r="AI31" s="25">
        <v>7.420740772637747</v>
      </c>
      <c r="AJ31" s="25">
        <v>7.4232251564305889</v>
      </c>
    </row>
    <row r="32" spans="1:36" s="11" customFormat="1" x14ac:dyDescent="0.25">
      <c r="A32" s="38" t="s">
        <v>241</v>
      </c>
      <c r="B32" s="81"/>
      <c r="C32" s="81"/>
      <c r="D32" s="81"/>
      <c r="E32" s="81"/>
      <c r="F32" s="81"/>
      <c r="G32" s="182"/>
      <c r="H32" s="182"/>
      <c r="I32" s="81"/>
      <c r="J32" s="81"/>
      <c r="K32" s="81"/>
      <c r="L32" s="81"/>
      <c r="M32" s="81"/>
      <c r="N32" s="182"/>
      <c r="O32" s="81"/>
      <c r="P32" s="182"/>
      <c r="Q32" s="81"/>
      <c r="R32" s="182"/>
      <c r="S32" s="81"/>
      <c r="T32" s="81"/>
      <c r="U32" s="81"/>
      <c r="V32" s="182"/>
      <c r="W32" s="81"/>
      <c r="X32" s="81"/>
      <c r="Y32" s="182"/>
      <c r="Z32" s="81"/>
      <c r="AA32" s="81"/>
      <c r="AB32" s="81"/>
      <c r="AC32" s="81"/>
      <c r="AD32" s="81"/>
      <c r="AE32" s="81"/>
      <c r="AF32" s="81"/>
      <c r="AG32" s="81"/>
      <c r="AH32" s="182"/>
      <c r="AI32" s="81"/>
      <c r="AJ32" s="81"/>
    </row>
    <row r="33" spans="1:36" s="11" customFormat="1" x14ac:dyDescent="0.25">
      <c r="A33" s="39" t="s">
        <v>242</v>
      </c>
      <c r="B33" s="40">
        <v>5.8125050399999987</v>
      </c>
      <c r="C33" s="40">
        <v>6.0428571428571436</v>
      </c>
      <c r="D33" s="41">
        <v>6.6</v>
      </c>
      <c r="E33" s="41">
        <v>5.2</v>
      </c>
      <c r="F33" s="25">
        <v>4.5999999999999996</v>
      </c>
      <c r="G33" s="25">
        <v>6.6</v>
      </c>
      <c r="H33" s="25">
        <v>6.2</v>
      </c>
      <c r="I33" s="25">
        <v>7.6</v>
      </c>
      <c r="J33" s="25">
        <v>7.5</v>
      </c>
      <c r="K33" s="41">
        <v>6.1</v>
      </c>
      <c r="L33" s="25">
        <v>7.3</v>
      </c>
      <c r="M33" s="25">
        <v>7.3</v>
      </c>
      <c r="N33" s="25">
        <v>7.2</v>
      </c>
      <c r="O33" s="41">
        <v>5.9</v>
      </c>
      <c r="P33" s="25">
        <v>7.4</v>
      </c>
      <c r="Q33" s="41">
        <v>2.8</v>
      </c>
      <c r="R33" s="25">
        <v>6.3</v>
      </c>
      <c r="S33" s="25">
        <v>5.9</v>
      </c>
      <c r="T33" s="41">
        <v>5.3</v>
      </c>
      <c r="U33" s="41">
        <v>7.1</v>
      </c>
      <c r="V33" s="25">
        <v>4</v>
      </c>
      <c r="W33" s="25">
        <v>5.4</v>
      </c>
      <c r="X33" s="25">
        <v>6.8</v>
      </c>
      <c r="Y33" s="25">
        <v>4.7</v>
      </c>
      <c r="Z33" s="41">
        <v>7.7</v>
      </c>
      <c r="AA33" s="25">
        <v>5.5</v>
      </c>
      <c r="AB33" s="41">
        <v>6.8</v>
      </c>
      <c r="AC33" s="25">
        <v>6.2</v>
      </c>
      <c r="AD33" s="41">
        <v>6.6</v>
      </c>
      <c r="AE33" s="41">
        <v>7.5</v>
      </c>
      <c r="AF33" s="41">
        <v>6.7</v>
      </c>
      <c r="AG33" s="41">
        <v>8.5</v>
      </c>
      <c r="AH33" s="25">
        <v>6.3</v>
      </c>
      <c r="AI33" s="25">
        <v>3.5</v>
      </c>
      <c r="AJ33" s="41">
        <v>4.3</v>
      </c>
    </row>
    <row r="34" spans="1:36" s="11" customFormat="1" x14ac:dyDescent="0.25">
      <c r="A34" s="39" t="s">
        <v>243</v>
      </c>
      <c r="B34" s="40">
        <v>5.3193624319999993</v>
      </c>
      <c r="C34" s="40">
        <v>4.4142857142857146</v>
      </c>
      <c r="D34" s="41">
        <v>4.7</v>
      </c>
      <c r="E34" s="41">
        <v>6.4</v>
      </c>
      <c r="F34" s="41">
        <v>4.5</v>
      </c>
      <c r="G34" s="41">
        <v>5.2</v>
      </c>
      <c r="H34" s="41">
        <v>3.8</v>
      </c>
      <c r="I34" s="41">
        <v>4.4000000000000004</v>
      </c>
      <c r="J34" s="25">
        <v>4.5</v>
      </c>
      <c r="K34" s="25">
        <v>4.5</v>
      </c>
      <c r="L34" s="41">
        <v>4.7</v>
      </c>
      <c r="M34" s="25">
        <v>3.8</v>
      </c>
      <c r="N34" s="41">
        <v>4.3</v>
      </c>
      <c r="O34" s="41">
        <v>5</v>
      </c>
      <c r="P34" s="41">
        <v>4.7</v>
      </c>
      <c r="Q34" s="41">
        <v>4.7</v>
      </c>
      <c r="R34" s="41">
        <v>4.8</v>
      </c>
      <c r="S34" s="25">
        <v>4.0999999999999996</v>
      </c>
      <c r="T34" s="41">
        <v>4.5999999999999996</v>
      </c>
      <c r="U34" s="25">
        <v>4.9000000000000004</v>
      </c>
      <c r="V34" s="41">
        <v>5.8</v>
      </c>
      <c r="W34" s="25">
        <v>5</v>
      </c>
      <c r="X34" s="41">
        <v>4.5</v>
      </c>
      <c r="Y34" s="41">
        <v>5</v>
      </c>
      <c r="Z34" s="41">
        <v>4.5999999999999996</v>
      </c>
      <c r="AA34" s="41">
        <v>4.4000000000000004</v>
      </c>
      <c r="AB34" s="25">
        <v>3.6</v>
      </c>
      <c r="AC34" s="25">
        <v>4.7</v>
      </c>
      <c r="AD34" s="41">
        <v>6.1</v>
      </c>
      <c r="AE34" s="41">
        <v>4.4000000000000004</v>
      </c>
      <c r="AF34" s="41">
        <v>4.3</v>
      </c>
      <c r="AG34" s="41">
        <v>4.5</v>
      </c>
      <c r="AH34" s="41">
        <v>5</v>
      </c>
      <c r="AI34" s="25">
        <v>2.9</v>
      </c>
      <c r="AJ34" s="25">
        <v>4.4000000000000004</v>
      </c>
    </row>
    <row r="35" spans="1:36" s="11" customFormat="1" x14ac:dyDescent="0.25">
      <c r="A35" s="39" t="s">
        <v>244</v>
      </c>
      <c r="B35" s="40">
        <v>6.6860034999999991</v>
      </c>
      <c r="C35" s="40">
        <v>6.9</v>
      </c>
      <c r="D35" s="41">
        <v>7.5</v>
      </c>
      <c r="E35" s="41">
        <v>7</v>
      </c>
      <c r="F35" s="25">
        <v>7.5</v>
      </c>
      <c r="G35" s="41" t="s">
        <v>18</v>
      </c>
      <c r="H35" s="41" t="s">
        <v>18</v>
      </c>
      <c r="I35" s="41">
        <v>6.8</v>
      </c>
      <c r="J35" s="25">
        <v>5.7</v>
      </c>
      <c r="K35" s="25" t="s">
        <v>343</v>
      </c>
      <c r="L35" s="41">
        <v>7.3</v>
      </c>
      <c r="M35" s="25" t="s">
        <v>344</v>
      </c>
      <c r="N35" s="41" t="s">
        <v>18</v>
      </c>
      <c r="O35" s="41">
        <v>6.2</v>
      </c>
      <c r="P35" s="41" t="s">
        <v>18</v>
      </c>
      <c r="Q35" s="41">
        <v>6.4</v>
      </c>
      <c r="R35" s="41" t="s">
        <v>18</v>
      </c>
      <c r="S35" s="25">
        <v>5.6</v>
      </c>
      <c r="T35" s="25">
        <v>5.9</v>
      </c>
      <c r="U35" s="41">
        <v>7.3</v>
      </c>
      <c r="V35" s="41" t="s">
        <v>18</v>
      </c>
      <c r="W35" s="25">
        <v>5.3</v>
      </c>
      <c r="X35" s="25">
        <v>8.3000000000000007</v>
      </c>
      <c r="Y35" s="41" t="s">
        <v>18</v>
      </c>
      <c r="Z35" s="41">
        <v>8.1999999999999993</v>
      </c>
      <c r="AA35" s="25">
        <v>6.7</v>
      </c>
      <c r="AB35" s="41">
        <v>7.5</v>
      </c>
      <c r="AC35" s="41">
        <v>7</v>
      </c>
      <c r="AD35" s="41">
        <v>7.5</v>
      </c>
      <c r="AE35" s="41">
        <v>7</v>
      </c>
      <c r="AF35" s="41" t="s">
        <v>345</v>
      </c>
      <c r="AG35" s="41">
        <v>7</v>
      </c>
      <c r="AH35" s="41" t="s">
        <v>18</v>
      </c>
      <c r="AI35" s="25">
        <v>7.3</v>
      </c>
      <c r="AJ35" s="41">
        <v>6.3</v>
      </c>
    </row>
    <row r="36" spans="1:36" s="11" customFormat="1" x14ac:dyDescent="0.25">
      <c r="A36" s="38" t="s">
        <v>245</v>
      </c>
      <c r="B36" s="40"/>
      <c r="C36" s="40"/>
      <c r="D36" s="41"/>
      <c r="E36" s="41"/>
      <c r="F36" s="25"/>
      <c r="G36" s="41"/>
      <c r="H36" s="41"/>
      <c r="I36" s="41"/>
      <c r="J36" s="25"/>
      <c r="K36" s="25"/>
      <c r="L36" s="41"/>
      <c r="M36" s="25"/>
      <c r="N36" s="41"/>
      <c r="O36" s="41"/>
      <c r="P36" s="41"/>
      <c r="Q36" s="41"/>
      <c r="R36" s="41"/>
      <c r="S36" s="25"/>
      <c r="T36" s="25"/>
      <c r="U36" s="41"/>
      <c r="V36" s="41"/>
      <c r="W36" s="25"/>
      <c r="X36" s="25"/>
      <c r="Y36" s="41"/>
      <c r="Z36" s="41"/>
      <c r="AA36" s="25"/>
      <c r="AB36" s="41"/>
      <c r="AC36" s="41"/>
      <c r="AD36" s="41"/>
      <c r="AE36" s="41"/>
      <c r="AF36" s="41"/>
      <c r="AG36" s="41"/>
      <c r="AH36" s="41"/>
      <c r="AI36" s="25"/>
      <c r="AJ36" s="41"/>
    </row>
    <row r="37" spans="1:36" s="11" customFormat="1" x14ac:dyDescent="0.25">
      <c r="A37" s="39" t="s">
        <v>246</v>
      </c>
      <c r="B37" s="43" t="s">
        <v>18</v>
      </c>
      <c r="C37" s="43" t="s">
        <v>18</v>
      </c>
      <c r="D37" s="43">
        <v>2021</v>
      </c>
      <c r="E37" s="43">
        <v>2023</v>
      </c>
      <c r="F37" s="43">
        <v>2018</v>
      </c>
      <c r="G37" s="43">
        <v>2025</v>
      </c>
      <c r="H37" s="43">
        <v>2024</v>
      </c>
      <c r="I37" s="43">
        <v>2023</v>
      </c>
      <c r="J37" s="43">
        <v>2010</v>
      </c>
      <c r="K37" s="43">
        <v>2020</v>
      </c>
      <c r="L37" s="43">
        <v>2023</v>
      </c>
      <c r="M37" s="43">
        <v>2019</v>
      </c>
      <c r="N37" s="43">
        <v>2025</v>
      </c>
      <c r="O37" s="43">
        <v>2023</v>
      </c>
      <c r="P37" s="43">
        <v>2025</v>
      </c>
      <c r="Q37" s="43">
        <v>2020</v>
      </c>
      <c r="R37" s="43">
        <v>2024</v>
      </c>
      <c r="S37" s="43">
        <v>2001</v>
      </c>
      <c r="T37" s="43">
        <v>2018</v>
      </c>
      <c r="U37" s="43">
        <v>2022</v>
      </c>
      <c r="V37" s="43">
        <v>2025</v>
      </c>
      <c r="W37" s="20">
        <v>2009</v>
      </c>
      <c r="X37" s="43">
        <v>2015</v>
      </c>
      <c r="Y37" s="43">
        <v>2024</v>
      </c>
      <c r="Z37" s="43">
        <v>2021</v>
      </c>
      <c r="AA37" s="43">
        <v>2018</v>
      </c>
      <c r="AB37" s="43">
        <v>2022</v>
      </c>
      <c r="AC37" s="43">
        <v>2022</v>
      </c>
      <c r="AD37" s="43">
        <v>2021</v>
      </c>
      <c r="AE37" s="43">
        <v>2020</v>
      </c>
      <c r="AF37" s="43">
        <v>2017</v>
      </c>
      <c r="AG37" s="43">
        <v>2021</v>
      </c>
      <c r="AH37" s="43">
        <v>2025</v>
      </c>
      <c r="AI37" s="20">
        <v>2009</v>
      </c>
      <c r="AJ37" s="43">
        <v>2022</v>
      </c>
    </row>
    <row r="38" spans="1:36" s="11" customFormat="1" x14ac:dyDescent="0.25">
      <c r="A38" s="39" t="s">
        <v>247</v>
      </c>
      <c r="B38" s="43" t="s">
        <v>18</v>
      </c>
      <c r="C38" s="43" t="s">
        <v>18</v>
      </c>
      <c r="D38" s="44" t="s">
        <v>156</v>
      </c>
      <c r="E38" s="44" t="s">
        <v>151</v>
      </c>
      <c r="F38" s="44" t="s">
        <v>148</v>
      </c>
      <c r="G38" s="44" t="s">
        <v>151</v>
      </c>
      <c r="H38" s="44" t="s">
        <v>156</v>
      </c>
      <c r="I38" s="184" t="s">
        <v>165</v>
      </c>
      <c r="J38" s="44" t="s">
        <v>156</v>
      </c>
      <c r="K38" s="44" t="s">
        <v>151</v>
      </c>
      <c r="L38" s="44" t="s">
        <v>156</v>
      </c>
      <c r="M38" s="44" t="s">
        <v>148</v>
      </c>
      <c r="N38" s="44" t="s">
        <v>156</v>
      </c>
      <c r="O38" s="44" t="s">
        <v>154</v>
      </c>
      <c r="P38" s="44" t="s">
        <v>156</v>
      </c>
      <c r="Q38" s="44" t="s">
        <v>148</v>
      </c>
      <c r="R38" s="44" t="s">
        <v>156</v>
      </c>
      <c r="S38" s="44" t="s">
        <v>151</v>
      </c>
      <c r="T38" s="44" t="s">
        <v>154</v>
      </c>
      <c r="U38" s="44" t="s">
        <v>148</v>
      </c>
      <c r="V38" s="44" t="s">
        <v>154</v>
      </c>
      <c r="W38" s="44" t="s">
        <v>148</v>
      </c>
      <c r="X38" s="44" t="s">
        <v>148</v>
      </c>
      <c r="Y38" s="44" t="s">
        <v>154</v>
      </c>
      <c r="Z38" s="44" t="s">
        <v>156</v>
      </c>
      <c r="AA38" s="44" t="s">
        <v>151</v>
      </c>
      <c r="AB38" s="44" t="s">
        <v>156</v>
      </c>
      <c r="AC38" s="44" t="s">
        <v>154</v>
      </c>
      <c r="AD38" s="44" t="s">
        <v>151</v>
      </c>
      <c r="AE38" s="44" t="s">
        <v>156</v>
      </c>
      <c r="AF38" s="44" t="s">
        <v>151</v>
      </c>
      <c r="AG38" s="44" t="s">
        <v>346</v>
      </c>
      <c r="AH38" s="44" t="s">
        <v>151</v>
      </c>
      <c r="AI38" s="44" t="s">
        <v>151</v>
      </c>
      <c r="AJ38" s="44" t="s">
        <v>151</v>
      </c>
    </row>
    <row r="39" spans="1:36" s="11" customFormat="1" x14ac:dyDescent="0.25">
      <c r="A39" s="39" t="s">
        <v>248</v>
      </c>
      <c r="B39" s="43" t="s">
        <v>18</v>
      </c>
      <c r="C39" s="43" t="s">
        <v>18</v>
      </c>
      <c r="D39" s="44" t="s">
        <v>156</v>
      </c>
      <c r="E39" s="44" t="s">
        <v>267</v>
      </c>
      <c r="F39" s="44" t="s">
        <v>249</v>
      </c>
      <c r="G39" s="44" t="s">
        <v>267</v>
      </c>
      <c r="H39" s="44" t="s">
        <v>156</v>
      </c>
      <c r="I39" s="184" t="s">
        <v>162</v>
      </c>
      <c r="J39" s="44" t="s">
        <v>156</v>
      </c>
      <c r="K39" s="44" t="s">
        <v>267</v>
      </c>
      <c r="L39" s="44" t="s">
        <v>289</v>
      </c>
      <c r="M39" s="44" t="s">
        <v>249</v>
      </c>
      <c r="N39" s="44" t="s">
        <v>156</v>
      </c>
      <c r="O39" s="44" t="s">
        <v>308</v>
      </c>
      <c r="P39" s="44" t="s">
        <v>289</v>
      </c>
      <c r="Q39" s="44" t="s">
        <v>249</v>
      </c>
      <c r="R39" s="44" t="s">
        <v>289</v>
      </c>
      <c r="S39" s="44" t="s">
        <v>267</v>
      </c>
      <c r="T39" s="44" t="s">
        <v>308</v>
      </c>
      <c r="U39" s="44" t="s">
        <v>249</v>
      </c>
      <c r="V39" s="44" t="s">
        <v>308</v>
      </c>
      <c r="W39" s="44" t="s">
        <v>249</v>
      </c>
      <c r="X39" s="44" t="s">
        <v>249</v>
      </c>
      <c r="Y39" s="44" t="s">
        <v>308</v>
      </c>
      <c r="Z39" s="44" t="s">
        <v>156</v>
      </c>
      <c r="AA39" s="44" t="s">
        <v>267</v>
      </c>
      <c r="AB39" s="44" t="s">
        <v>156</v>
      </c>
      <c r="AC39" s="44" t="s">
        <v>308</v>
      </c>
      <c r="AD39" s="44" t="s">
        <v>267</v>
      </c>
      <c r="AE39" s="44" t="s">
        <v>156</v>
      </c>
      <c r="AF39" s="44" t="s">
        <v>267</v>
      </c>
      <c r="AG39" s="44" t="s">
        <v>267</v>
      </c>
      <c r="AH39" s="44" t="s">
        <v>267</v>
      </c>
      <c r="AI39" s="44" t="s">
        <v>267</v>
      </c>
      <c r="AJ39" s="44" t="s">
        <v>267</v>
      </c>
    </row>
    <row r="40" spans="1:36" s="11" customFormat="1" x14ac:dyDescent="0.25">
      <c r="A40" s="19" t="s">
        <v>250</v>
      </c>
      <c r="B40" s="43"/>
      <c r="C40" s="43"/>
      <c r="D40" s="43"/>
      <c r="E40" s="43"/>
      <c r="F40" s="43"/>
      <c r="G40" s="20"/>
      <c r="H40" s="20"/>
      <c r="I40" s="43"/>
      <c r="J40" s="43"/>
      <c r="K40" s="43"/>
      <c r="L40" s="43"/>
      <c r="M40" s="43"/>
      <c r="N40" s="20"/>
      <c r="O40" s="43"/>
      <c r="P40" s="20"/>
      <c r="Q40" s="43"/>
      <c r="R40" s="20"/>
      <c r="S40" s="43"/>
      <c r="T40" s="43"/>
      <c r="U40" s="43"/>
      <c r="V40" s="20"/>
      <c r="W40" s="43"/>
      <c r="X40" s="43"/>
      <c r="Y40" s="20"/>
      <c r="Z40" s="43"/>
      <c r="AA40" s="43"/>
      <c r="AB40" s="43"/>
      <c r="AC40" s="43"/>
      <c r="AD40" s="43"/>
      <c r="AE40" s="43"/>
      <c r="AF40" s="43"/>
      <c r="AG40" s="43"/>
      <c r="AH40" s="20"/>
      <c r="AI40" s="20"/>
      <c r="AJ40" s="43"/>
    </row>
    <row r="41" spans="1:36" s="11" customFormat="1" x14ac:dyDescent="0.25">
      <c r="A41" s="39" t="s">
        <v>251</v>
      </c>
      <c r="B41" s="43" t="s">
        <v>18</v>
      </c>
      <c r="C41" s="43" t="s">
        <v>18</v>
      </c>
      <c r="D41" s="43">
        <v>13</v>
      </c>
      <c r="E41" s="43">
        <v>12</v>
      </c>
      <c r="F41" s="43">
        <v>14</v>
      </c>
      <c r="G41" s="20">
        <v>5</v>
      </c>
      <c r="H41" s="20">
        <v>9</v>
      </c>
      <c r="I41" s="43">
        <v>12</v>
      </c>
      <c r="J41" s="43">
        <v>11</v>
      </c>
      <c r="K41" s="43">
        <v>8</v>
      </c>
      <c r="L41" s="43">
        <v>12</v>
      </c>
      <c r="M41" s="43">
        <v>12</v>
      </c>
      <c r="N41" s="20">
        <v>5</v>
      </c>
      <c r="O41" s="43">
        <v>12</v>
      </c>
      <c r="P41" s="20">
        <v>5</v>
      </c>
      <c r="Q41" s="43">
        <v>12</v>
      </c>
      <c r="R41" s="20">
        <v>9</v>
      </c>
      <c r="S41" s="43">
        <v>11</v>
      </c>
      <c r="T41" s="43">
        <v>12</v>
      </c>
      <c r="U41" s="43">
        <v>13</v>
      </c>
      <c r="V41" s="20">
        <v>5</v>
      </c>
      <c r="W41" s="43">
        <v>28</v>
      </c>
      <c r="X41" s="43">
        <v>12</v>
      </c>
      <c r="Y41" s="20">
        <v>9</v>
      </c>
      <c r="Z41" s="43">
        <v>13</v>
      </c>
      <c r="AA41" s="43">
        <v>12</v>
      </c>
      <c r="AB41" s="43">
        <v>13</v>
      </c>
      <c r="AC41" s="43">
        <v>13</v>
      </c>
      <c r="AD41" s="43">
        <v>13</v>
      </c>
      <c r="AE41" s="43">
        <v>12</v>
      </c>
      <c r="AF41" s="43">
        <v>12</v>
      </c>
      <c r="AG41" s="43">
        <v>13</v>
      </c>
      <c r="AH41" s="20">
        <v>5</v>
      </c>
      <c r="AI41" s="20">
        <v>28</v>
      </c>
      <c r="AJ41" s="43">
        <v>13</v>
      </c>
    </row>
    <row r="42" spans="1:36" s="11" customFormat="1" x14ac:dyDescent="0.25">
      <c r="A42" s="39" t="s">
        <v>252</v>
      </c>
      <c r="B42" s="43" t="s">
        <v>18</v>
      </c>
      <c r="C42" s="43" t="s">
        <v>18</v>
      </c>
      <c r="D42" s="20">
        <v>12</v>
      </c>
      <c r="E42" s="20">
        <v>9</v>
      </c>
      <c r="F42" s="20">
        <v>11</v>
      </c>
      <c r="G42" s="20">
        <v>5</v>
      </c>
      <c r="H42" s="20">
        <v>6</v>
      </c>
      <c r="I42" s="20">
        <v>9</v>
      </c>
      <c r="J42" s="20">
        <v>10</v>
      </c>
      <c r="K42" s="20">
        <v>7</v>
      </c>
      <c r="L42" s="20">
        <v>9</v>
      </c>
      <c r="M42" s="20">
        <v>9</v>
      </c>
      <c r="N42" s="20">
        <v>5</v>
      </c>
      <c r="O42" s="20">
        <v>9</v>
      </c>
      <c r="P42" s="20">
        <v>5</v>
      </c>
      <c r="Q42" s="20">
        <v>11</v>
      </c>
      <c r="R42" s="20">
        <v>6</v>
      </c>
      <c r="S42" s="20">
        <v>10</v>
      </c>
      <c r="T42" s="20">
        <v>11</v>
      </c>
      <c r="U42" s="20">
        <v>12</v>
      </c>
      <c r="V42" s="20">
        <v>5</v>
      </c>
      <c r="W42" s="20">
        <v>25</v>
      </c>
      <c r="X42" s="20">
        <v>11</v>
      </c>
      <c r="Y42" s="20">
        <v>6</v>
      </c>
      <c r="Z42" s="20">
        <v>12</v>
      </c>
      <c r="AA42" s="20">
        <v>11</v>
      </c>
      <c r="AB42" s="20">
        <v>12</v>
      </c>
      <c r="AC42" s="20">
        <v>12</v>
      </c>
      <c r="AD42" s="20">
        <v>12</v>
      </c>
      <c r="AE42" s="20">
        <v>11</v>
      </c>
      <c r="AF42" s="20">
        <v>11</v>
      </c>
      <c r="AG42" s="20">
        <v>12</v>
      </c>
      <c r="AH42" s="20">
        <v>5</v>
      </c>
      <c r="AI42" s="20">
        <v>25</v>
      </c>
      <c r="AJ42" s="20">
        <v>12</v>
      </c>
    </row>
    <row r="43" spans="1:36" s="11" customFormat="1" x14ac:dyDescent="0.25">
      <c r="A43" s="39" t="s">
        <v>253</v>
      </c>
      <c r="B43" s="43" t="s">
        <v>18</v>
      </c>
      <c r="C43" s="43" t="s">
        <v>18</v>
      </c>
      <c r="D43" s="20">
        <v>11</v>
      </c>
      <c r="E43" s="20">
        <v>6</v>
      </c>
      <c r="F43" s="20">
        <v>12</v>
      </c>
      <c r="G43" s="20">
        <v>5</v>
      </c>
      <c r="H43" s="20">
        <v>6</v>
      </c>
      <c r="I43" s="20">
        <v>6</v>
      </c>
      <c r="J43" s="20">
        <v>10</v>
      </c>
      <c r="K43" s="20">
        <v>6</v>
      </c>
      <c r="L43" s="20">
        <v>6</v>
      </c>
      <c r="M43" s="20">
        <v>8</v>
      </c>
      <c r="N43" s="20">
        <v>5</v>
      </c>
      <c r="O43" s="20">
        <v>6</v>
      </c>
      <c r="P43" s="20">
        <v>5</v>
      </c>
      <c r="Q43" s="20">
        <v>12</v>
      </c>
      <c r="R43" s="20">
        <v>6</v>
      </c>
      <c r="S43" s="20">
        <v>10</v>
      </c>
      <c r="T43" s="20">
        <v>12</v>
      </c>
      <c r="U43" s="20">
        <v>9</v>
      </c>
      <c r="V43" s="20">
        <v>5</v>
      </c>
      <c r="W43" s="20">
        <v>25</v>
      </c>
      <c r="X43" s="20">
        <v>12</v>
      </c>
      <c r="Y43" s="20">
        <v>6</v>
      </c>
      <c r="Z43" s="20">
        <v>11</v>
      </c>
      <c r="AA43" s="20">
        <v>12</v>
      </c>
      <c r="AB43" s="20">
        <v>9</v>
      </c>
      <c r="AC43" s="20">
        <v>9</v>
      </c>
      <c r="AD43" s="20">
        <v>11</v>
      </c>
      <c r="AE43" s="20">
        <v>12</v>
      </c>
      <c r="AF43" s="20">
        <v>12</v>
      </c>
      <c r="AG43" s="20">
        <v>11</v>
      </c>
      <c r="AH43" s="20">
        <v>5</v>
      </c>
      <c r="AI43" s="20">
        <v>27</v>
      </c>
      <c r="AJ43" s="20">
        <v>9</v>
      </c>
    </row>
    <row r="44" spans="1:36" x14ac:dyDescent="0.25">
      <c r="A44" s="55" t="s">
        <v>254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</row>
    <row r="45" spans="1:36" x14ac:dyDescent="0.25">
      <c r="A45" s="56" t="s">
        <v>255</v>
      </c>
      <c r="B45" s="67"/>
      <c r="C45" s="67"/>
      <c r="D45" s="70"/>
      <c r="E45" s="70"/>
      <c r="F45" s="70"/>
      <c r="G45" s="71"/>
      <c r="H45" s="71"/>
      <c r="I45" s="70"/>
      <c r="J45" s="70"/>
      <c r="K45" s="70"/>
      <c r="L45" s="70"/>
      <c r="M45" s="70"/>
      <c r="N45" s="71"/>
      <c r="O45" s="70"/>
      <c r="P45" s="71"/>
      <c r="Q45" s="70"/>
      <c r="R45" s="71"/>
      <c r="S45" s="70"/>
      <c r="T45" s="70"/>
      <c r="U45" s="70"/>
      <c r="V45" s="71"/>
      <c r="W45" s="70"/>
      <c r="X45" s="72"/>
      <c r="Y45" s="71"/>
      <c r="Z45" s="70"/>
      <c r="AA45" s="70"/>
      <c r="AB45" s="70"/>
      <c r="AC45" s="70"/>
      <c r="AD45" s="70"/>
      <c r="AE45" s="70"/>
      <c r="AF45" s="70"/>
      <c r="AG45" s="70"/>
      <c r="AH45" s="71"/>
      <c r="AI45" s="72"/>
      <c r="AJ45" s="70"/>
    </row>
    <row r="46" spans="1:36" x14ac:dyDescent="0.25">
      <c r="A46" s="56" t="s">
        <v>256</v>
      </c>
      <c r="B46" s="67"/>
      <c r="C46" s="67"/>
      <c r="D46" s="70"/>
      <c r="E46" s="70"/>
      <c r="F46" s="70"/>
      <c r="G46" s="71"/>
      <c r="H46" s="71"/>
      <c r="I46" s="70"/>
      <c r="J46" s="70"/>
      <c r="K46" s="70"/>
      <c r="L46" s="70"/>
      <c r="M46" s="70"/>
      <c r="N46" s="71"/>
      <c r="O46" s="70"/>
      <c r="P46" s="71"/>
      <c r="Q46" s="70"/>
      <c r="R46" s="71"/>
      <c r="S46" s="70"/>
      <c r="T46" s="70"/>
      <c r="U46" s="70"/>
      <c r="V46" s="71"/>
      <c r="W46" s="70"/>
      <c r="X46" s="72"/>
      <c r="Y46" s="71"/>
      <c r="Z46" s="70"/>
      <c r="AA46" s="70"/>
      <c r="AB46" s="70"/>
      <c r="AC46" s="70"/>
      <c r="AD46" s="70"/>
      <c r="AE46" s="70"/>
      <c r="AF46" s="70"/>
      <c r="AG46" s="70"/>
      <c r="AH46" s="71"/>
      <c r="AI46" s="72"/>
      <c r="AJ46" s="70"/>
    </row>
    <row r="47" spans="1:36" x14ac:dyDescent="0.25">
      <c r="A47" s="56" t="s">
        <v>257</v>
      </c>
      <c r="B47" s="67"/>
      <c r="C47" s="67"/>
      <c r="D47" s="70"/>
      <c r="E47" s="70"/>
      <c r="F47" s="70"/>
      <c r="G47" s="71"/>
      <c r="H47" s="71"/>
      <c r="I47" s="70"/>
      <c r="J47" s="70"/>
      <c r="K47" s="70"/>
      <c r="L47" s="70"/>
      <c r="M47" s="70"/>
      <c r="N47" s="71"/>
      <c r="O47" s="70"/>
      <c r="P47" s="71"/>
      <c r="Q47" s="70"/>
      <c r="R47" s="71"/>
      <c r="S47" s="70"/>
      <c r="T47" s="70"/>
      <c r="U47" s="70"/>
      <c r="V47" s="71"/>
      <c r="W47" s="70"/>
      <c r="X47" s="72"/>
      <c r="Y47" s="71"/>
      <c r="Z47" s="70"/>
      <c r="AA47" s="70"/>
      <c r="AB47" s="70"/>
      <c r="AC47" s="70"/>
      <c r="AD47" s="70"/>
      <c r="AE47" s="70"/>
      <c r="AF47" s="70"/>
      <c r="AG47" s="70"/>
      <c r="AH47" s="71"/>
      <c r="AI47" s="72"/>
      <c r="AJ47" s="70"/>
    </row>
    <row r="48" spans="1:36" x14ac:dyDescent="0.25">
      <c r="A48" s="55" t="s">
        <v>258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</row>
    <row r="49" spans="1:36" x14ac:dyDescent="0.25">
      <c r="A49" s="57" t="s">
        <v>259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</row>
  </sheetData>
  <conditionalFormatting sqref="AC25">
    <cfRule type="cellIs" dxfId="166" priority="1" stopIfTrue="1" operator="greaterThan">
      <formula>"7.5+1.35"</formula>
    </cfRule>
    <cfRule type="aboveAverage" priority="2" stopIfTrue="1"/>
    <cfRule type="cellIs" dxfId="165" priority="3" stopIfTrue="1" operator="greaterThan">
      <formula>"7.5+$Z$37"</formula>
    </cfRule>
  </conditionalFormatting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D0DB-CAF4-4F81-9748-C74E29B49389}">
  <dimension ref="A1:O71"/>
  <sheetViews>
    <sheetView workbookViewId="0"/>
  </sheetViews>
  <sheetFormatPr defaultColWidth="9.28515625" defaultRowHeight="15" x14ac:dyDescent="0.25"/>
  <cols>
    <col min="1" max="1" width="144.140625" bestFit="1" customWidth="1"/>
    <col min="2" max="2" width="24.140625" style="73" bestFit="1" customWidth="1"/>
    <col min="3" max="3" width="41.140625" style="73" bestFit="1" customWidth="1"/>
    <col min="4" max="4" width="12.28515625" style="73" bestFit="1" customWidth="1"/>
    <col min="5" max="5" width="13.5703125" style="73" bestFit="1" customWidth="1"/>
    <col min="6" max="6" width="10.85546875" style="73" bestFit="1" customWidth="1"/>
    <col min="7" max="7" width="11.5703125" style="73" bestFit="1" customWidth="1"/>
    <col min="8" max="8" width="12.28515625" style="73" bestFit="1" customWidth="1"/>
    <col min="9" max="9" width="12.42578125" style="73" bestFit="1" customWidth="1"/>
    <col min="10" max="10" width="12.85546875" style="73" bestFit="1" customWidth="1"/>
    <col min="11" max="11" width="11.7109375" style="73" bestFit="1" customWidth="1"/>
    <col min="12" max="12" width="16.5703125" style="73" bestFit="1" customWidth="1"/>
    <col min="13" max="13" width="14.85546875" style="73" bestFit="1" customWidth="1"/>
    <col min="14" max="14" width="6.28515625" customWidth="1"/>
    <col min="15" max="15" width="6.5703125" customWidth="1"/>
  </cols>
  <sheetData>
    <row r="1" spans="1:15" x14ac:dyDescent="0.25">
      <c r="A1" s="59" t="s">
        <v>189</v>
      </c>
      <c r="B1" s="60"/>
      <c r="C1" s="60"/>
      <c r="D1" s="62"/>
      <c r="E1" s="62"/>
      <c r="F1" s="61"/>
      <c r="G1" s="62"/>
      <c r="H1" s="61"/>
      <c r="I1" s="62"/>
      <c r="J1" s="61"/>
      <c r="K1" s="62"/>
      <c r="L1" s="62"/>
      <c r="M1" s="61"/>
    </row>
    <row r="2" spans="1:15" x14ac:dyDescent="0.25">
      <c r="A2" s="63"/>
      <c r="B2" s="60"/>
      <c r="C2" s="60"/>
      <c r="D2" s="62"/>
      <c r="E2" s="62"/>
      <c r="F2" s="61"/>
      <c r="G2" s="62"/>
      <c r="H2" s="62"/>
      <c r="I2" s="61"/>
      <c r="J2" s="62"/>
      <c r="K2" s="61"/>
      <c r="L2" s="62"/>
      <c r="M2" s="61"/>
      <c r="N2" s="61"/>
    </row>
    <row r="3" spans="1:15" s="75" customFormat="1" x14ac:dyDescent="0.25">
      <c r="A3" s="74" t="s">
        <v>189</v>
      </c>
      <c r="B3" s="74" t="s">
        <v>347</v>
      </c>
      <c r="C3" s="74" t="s">
        <v>348</v>
      </c>
      <c r="D3" s="74" t="s">
        <v>349</v>
      </c>
      <c r="E3" s="74" t="s">
        <v>350</v>
      </c>
      <c r="F3" s="74" t="s">
        <v>351</v>
      </c>
      <c r="G3" s="74" t="s">
        <v>352</v>
      </c>
      <c r="H3" s="74" t="s">
        <v>353</v>
      </c>
      <c r="I3" s="74" t="s">
        <v>354</v>
      </c>
      <c r="J3" s="74" t="s">
        <v>355</v>
      </c>
      <c r="K3" s="74" t="s">
        <v>356</v>
      </c>
      <c r="L3" s="74" t="s">
        <v>357</v>
      </c>
      <c r="M3" s="74" t="s">
        <v>358</v>
      </c>
    </row>
    <row r="4" spans="1:15" x14ac:dyDescent="0.25">
      <c r="A4" s="14" t="s">
        <v>213</v>
      </c>
      <c r="B4" s="42" t="s">
        <v>18</v>
      </c>
      <c r="C4" s="42" t="s">
        <v>18</v>
      </c>
      <c r="D4" s="16" t="s">
        <v>6</v>
      </c>
      <c r="E4" s="16" t="s">
        <v>15</v>
      </c>
      <c r="F4" s="16" t="s">
        <v>12</v>
      </c>
      <c r="G4" s="16" t="s">
        <v>12</v>
      </c>
      <c r="H4" s="16" t="s">
        <v>9</v>
      </c>
      <c r="I4" s="16" t="s">
        <v>12</v>
      </c>
      <c r="J4" s="16" t="s">
        <v>6</v>
      </c>
      <c r="K4" s="16" t="s">
        <v>6</v>
      </c>
      <c r="L4" s="16" t="s">
        <v>12</v>
      </c>
      <c r="M4" s="16" t="s">
        <v>15</v>
      </c>
    </row>
    <row r="5" spans="1:15" s="11" customFormat="1" x14ac:dyDescent="0.25">
      <c r="A5" s="17" t="s">
        <v>214</v>
      </c>
      <c r="B5" s="42" t="s">
        <v>18</v>
      </c>
      <c r="C5" s="42" t="s">
        <v>18</v>
      </c>
      <c r="D5" s="18">
        <v>149.37700000000001</v>
      </c>
      <c r="E5" s="18">
        <v>151.642</v>
      </c>
      <c r="F5" s="18">
        <v>151.678</v>
      </c>
      <c r="G5" s="18">
        <v>151.797</v>
      </c>
      <c r="H5" s="18">
        <v>151.86199999999999</v>
      </c>
      <c r="I5" s="18">
        <v>152.125</v>
      </c>
      <c r="J5" s="18">
        <v>153.26</v>
      </c>
      <c r="K5" s="18">
        <v>153.99299999999999</v>
      </c>
      <c r="L5" s="18">
        <v>154.79000000000002</v>
      </c>
      <c r="M5" s="18">
        <v>155.14600000000002</v>
      </c>
    </row>
    <row r="6" spans="1:15" s="11" customFormat="1" x14ac:dyDescent="0.25">
      <c r="A6" s="19" t="s">
        <v>215</v>
      </c>
      <c r="B6" s="20"/>
      <c r="C6" s="20"/>
      <c r="D6" s="20"/>
      <c r="E6" s="83"/>
      <c r="F6" s="20"/>
      <c r="G6" s="83"/>
      <c r="H6" s="20"/>
      <c r="I6" s="20"/>
      <c r="J6" s="20"/>
      <c r="K6" s="20"/>
      <c r="L6" s="20"/>
      <c r="M6" s="20"/>
    </row>
    <row r="7" spans="1:15" s="11" customFormat="1" x14ac:dyDescent="0.25">
      <c r="A7" s="21" t="s">
        <v>216</v>
      </c>
      <c r="B7" s="22">
        <v>100</v>
      </c>
      <c r="C7" s="22">
        <v>103.11446666123284</v>
      </c>
      <c r="D7" s="22">
        <v>103.62994901190696</v>
      </c>
      <c r="E7" s="22">
        <v>102.22230958011409</v>
      </c>
      <c r="F7" s="22">
        <v>101.0125038428647</v>
      </c>
      <c r="G7" s="22">
        <v>105.27873260732392</v>
      </c>
      <c r="H7" s="22">
        <v>102.09085201533858</v>
      </c>
      <c r="I7" s="22">
        <v>102.3231017945223</v>
      </c>
      <c r="J7" s="22">
        <v>105.76370503556431</v>
      </c>
      <c r="K7" s="22">
        <v>100.97336058212144</v>
      </c>
      <c r="L7" s="22">
        <v>106.35539914232064</v>
      </c>
      <c r="M7" s="22">
        <v>104.17817917867592</v>
      </c>
      <c r="O7"/>
    </row>
    <row r="8" spans="1:15" s="11" customFormat="1" x14ac:dyDescent="0.25">
      <c r="A8" s="24" t="s">
        <v>217</v>
      </c>
      <c r="B8" s="25">
        <f>65+11.8875479735432</f>
        <v>76.887547973543207</v>
      </c>
      <c r="C8" s="25">
        <f>65+12.0285161965748</f>
        <v>77.028516196574799</v>
      </c>
      <c r="D8" s="25">
        <f>65+11.6760523442113</f>
        <v>76.6760523442113</v>
      </c>
      <c r="E8" s="25">
        <f>65+12.7958984136609</f>
        <v>77.795898413660893</v>
      </c>
      <c r="F8" s="25">
        <f>65+11.9420386217918</f>
        <v>76.942038621791795</v>
      </c>
      <c r="G8" s="25">
        <f>65+12.3082028313223</f>
        <v>77.308202831322305</v>
      </c>
      <c r="H8" s="25">
        <f>65+11.6200879712145</f>
        <v>76.620087971214502</v>
      </c>
      <c r="I8" s="25">
        <f>65+11.3878330172671</f>
        <v>76.387833017267099</v>
      </c>
      <c r="J8" s="25">
        <f>65+12.8093685498356</f>
        <v>77.809368549835597</v>
      </c>
      <c r="K8" s="25">
        <f>65+12.0085559210377</f>
        <v>77.008555921037697</v>
      </c>
      <c r="L8" s="25">
        <f>65+13.8126494613657</f>
        <v>78.812649461365694</v>
      </c>
      <c r="M8" s="25">
        <f>65+13.6337052884585</f>
        <v>78.633705288458501</v>
      </c>
    </row>
    <row r="9" spans="1:15" s="11" customFormat="1" x14ac:dyDescent="0.25">
      <c r="A9" s="26" t="s">
        <v>218</v>
      </c>
      <c r="B9" s="27">
        <v>100</v>
      </c>
      <c r="C9" s="27">
        <v>103.15507972442285</v>
      </c>
      <c r="D9" s="27">
        <v>103.31578644114785</v>
      </c>
      <c r="E9" s="27">
        <v>103.06850220081243</v>
      </c>
      <c r="F9" s="27">
        <v>100.66852552475507</v>
      </c>
      <c r="G9" s="27">
        <v>105.41361841317088</v>
      </c>
      <c r="H9" s="27">
        <v>101.46235630230231</v>
      </c>
      <c r="I9" s="27">
        <v>101.52039948748246</v>
      </c>
      <c r="J9" s="27">
        <v>106.8741940237995</v>
      </c>
      <c r="K9" s="27">
        <v>100.96798213044171</v>
      </c>
      <c r="L9" s="27">
        <v>109.03808786570828</v>
      </c>
      <c r="M9" s="27">
        <v>106.117861930931</v>
      </c>
    </row>
    <row r="10" spans="1:15" s="11" customFormat="1" x14ac:dyDescent="0.25">
      <c r="A10" s="21" t="s">
        <v>219</v>
      </c>
      <c r="B10" s="22">
        <v>70.831613448245761</v>
      </c>
      <c r="C10" s="22">
        <v>66.004420613150202</v>
      </c>
      <c r="D10" s="22">
        <v>64.703077936033708</v>
      </c>
      <c r="E10" s="22">
        <v>58.953949543176293</v>
      </c>
      <c r="F10" s="22">
        <v>65.601906870312078</v>
      </c>
      <c r="G10" s="22">
        <v>69.807849186223407</v>
      </c>
      <c r="H10" s="22">
        <v>64.790218880692393</v>
      </c>
      <c r="I10" s="22">
        <v>66.920620826000459</v>
      </c>
      <c r="J10" s="22">
        <v>66.976247938708283</v>
      </c>
      <c r="K10" s="22">
        <v>67.548137697166425</v>
      </c>
      <c r="L10" s="22">
        <v>64.339577386037135</v>
      </c>
      <c r="M10" s="22">
        <v>65.488073536978746</v>
      </c>
    </row>
    <row r="11" spans="1:15" s="11" customFormat="1" x14ac:dyDescent="0.25">
      <c r="A11" s="19" t="s">
        <v>220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5" s="11" customFormat="1" x14ac:dyDescent="0.25">
      <c r="A12" s="21" t="s">
        <v>221</v>
      </c>
      <c r="B12" s="22">
        <v>100</v>
      </c>
      <c r="C12" s="22">
        <v>104.85243555613197</v>
      </c>
      <c r="D12" s="22">
        <v>106.09290375717045</v>
      </c>
      <c r="E12" s="22">
        <v>96.518462622032942</v>
      </c>
      <c r="F12" s="22">
        <v>107.74882966971646</v>
      </c>
      <c r="G12" s="22">
        <v>107.61250244809142</v>
      </c>
      <c r="H12" s="22">
        <v>102.07118950388418</v>
      </c>
      <c r="I12" s="22">
        <v>101.28290325949274</v>
      </c>
      <c r="J12" s="22">
        <v>106.55772178813905</v>
      </c>
      <c r="K12" s="22">
        <v>104.68792717533412</v>
      </c>
      <c r="L12" s="22">
        <v>108.98477983754265</v>
      </c>
      <c r="M12" s="22">
        <v>99.473035892394847</v>
      </c>
    </row>
    <row r="13" spans="1:15" s="11" customFormat="1" x14ac:dyDescent="0.25">
      <c r="A13" s="28" t="s">
        <v>222</v>
      </c>
      <c r="B13" s="27">
        <v>100</v>
      </c>
      <c r="C13" s="27">
        <v>108.50860073056876</v>
      </c>
      <c r="D13" s="27">
        <v>109.30975834171693</v>
      </c>
      <c r="E13" s="27">
        <v>101.25232088386984</v>
      </c>
      <c r="F13" s="27">
        <v>112.30823728121575</v>
      </c>
      <c r="G13" s="27">
        <v>110.809425400264</v>
      </c>
      <c r="H13" s="27">
        <v>105.09132612267064</v>
      </c>
      <c r="I13" s="27">
        <v>102.32753347709817</v>
      </c>
      <c r="J13" s="27">
        <v>111.70000421753781</v>
      </c>
      <c r="K13" s="27">
        <v>107.9333142403497</v>
      </c>
      <c r="L13" s="27">
        <v>112.63967338232659</v>
      </c>
      <c r="M13" s="27">
        <v>101.71072645086163</v>
      </c>
    </row>
    <row r="14" spans="1:15" s="11" customFormat="1" x14ac:dyDescent="0.25">
      <c r="A14" s="21" t="s">
        <v>223</v>
      </c>
      <c r="B14" s="22">
        <v>100</v>
      </c>
      <c r="C14" s="22">
        <v>103.22833933498762</v>
      </c>
      <c r="D14" s="22">
        <v>105.13137724441884</v>
      </c>
      <c r="E14" s="22">
        <v>99.407525470687702</v>
      </c>
      <c r="F14" s="22">
        <v>108.47487118258151</v>
      </c>
      <c r="G14" s="22">
        <v>108.86565495815016</v>
      </c>
      <c r="H14" s="22">
        <v>101.89463491588184</v>
      </c>
      <c r="I14" s="22">
        <v>100.52013065366063</v>
      </c>
      <c r="J14" s="22">
        <v>105.44121356724553</v>
      </c>
      <c r="K14" s="22">
        <v>100.44613161240427</v>
      </c>
      <c r="L14" s="22">
        <v>104.49530099535325</v>
      </c>
      <c r="M14" s="22">
        <v>102.27145608613944</v>
      </c>
    </row>
    <row r="15" spans="1:15" s="11" customFormat="1" x14ac:dyDescent="0.25">
      <c r="A15" s="24" t="s">
        <v>224</v>
      </c>
      <c r="B15" s="22">
        <v>100</v>
      </c>
      <c r="C15" s="30">
        <v>104.05552718603461</v>
      </c>
      <c r="D15" s="22">
        <v>105.61214050079464</v>
      </c>
      <c r="E15" s="22">
        <v>97.674087761494846</v>
      </c>
      <c r="F15" s="22">
        <v>108.03924627486248</v>
      </c>
      <c r="G15" s="22">
        <v>108.23907870312078</v>
      </c>
      <c r="H15" s="22">
        <v>101.99272079810537</v>
      </c>
      <c r="I15" s="22">
        <v>100.90151695657669</v>
      </c>
      <c r="J15" s="22">
        <v>106.05021805136926</v>
      </c>
      <c r="K15" s="22">
        <v>102.56702939386919</v>
      </c>
      <c r="L15" s="22">
        <v>106.74004041644794</v>
      </c>
      <c r="M15" s="22">
        <v>100.59240396989269</v>
      </c>
    </row>
    <row r="16" spans="1:15" s="11" customFormat="1" x14ac:dyDescent="0.25">
      <c r="A16" s="21" t="s">
        <v>225</v>
      </c>
      <c r="B16" s="22">
        <v>66.243111205308352</v>
      </c>
      <c r="C16" s="22">
        <v>61.102724261735943</v>
      </c>
      <c r="D16" s="30">
        <v>59.849170149553572</v>
      </c>
      <c r="E16" s="30">
        <v>51.134381920434343</v>
      </c>
      <c r="F16" s="22">
        <v>58.817050139567101</v>
      </c>
      <c r="G16" s="30">
        <v>60.215865729184884</v>
      </c>
      <c r="H16" s="30">
        <v>59.006821240599706</v>
      </c>
      <c r="I16" s="30">
        <v>60.279083639900342</v>
      </c>
      <c r="J16" s="30">
        <v>62.479282939993901</v>
      </c>
      <c r="K16" s="30">
        <v>63.075622716796602</v>
      </c>
      <c r="L16" s="30">
        <v>61.038673898760422</v>
      </c>
      <c r="M16" s="22">
        <v>57.276216806233762</v>
      </c>
    </row>
    <row r="17" spans="1:15" s="11" customFormat="1" x14ac:dyDescent="0.25">
      <c r="A17" s="19" t="s">
        <v>226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5" s="11" customFormat="1" x14ac:dyDescent="0.25">
      <c r="A18" s="21" t="s">
        <v>227</v>
      </c>
      <c r="B18" s="22">
        <v>100</v>
      </c>
      <c r="C18" s="22">
        <v>98.041122828618583</v>
      </c>
      <c r="D18" s="22">
        <v>98.021089859187327</v>
      </c>
      <c r="E18" s="22">
        <v>111.98062899379923</v>
      </c>
      <c r="F18" s="22">
        <v>86.546136637958085</v>
      </c>
      <c r="G18" s="22">
        <v>96.202312408479855</v>
      </c>
      <c r="H18" s="22">
        <v>93.061969458466024</v>
      </c>
      <c r="I18" s="22">
        <v>89.929551360426544</v>
      </c>
      <c r="J18" s="22">
        <v>106.14741746305467</v>
      </c>
      <c r="K18" s="22">
        <v>94.934014533766316</v>
      </c>
      <c r="L18" s="22">
        <v>91.565453825468154</v>
      </c>
      <c r="M18" s="22">
        <v>92.019789394180165</v>
      </c>
    </row>
    <row r="19" spans="1:15" s="11" customFormat="1" x14ac:dyDescent="0.25">
      <c r="A19" s="21" t="s">
        <v>228</v>
      </c>
      <c r="B19" s="22">
        <v>100</v>
      </c>
      <c r="C19" s="22">
        <v>101.6549147518901</v>
      </c>
      <c r="D19" s="22">
        <v>102.94841388747322</v>
      </c>
      <c r="E19" s="22">
        <v>107.39053287130037</v>
      </c>
      <c r="F19" s="22">
        <v>99.22234726599747</v>
      </c>
      <c r="G19" s="22">
        <v>106.75035885193886</v>
      </c>
      <c r="H19" s="22">
        <v>97.428421948807568</v>
      </c>
      <c r="I19" s="22">
        <v>95.778574154601273</v>
      </c>
      <c r="J19" s="22">
        <v>107.89063236051973</v>
      </c>
      <c r="K19" s="22">
        <v>98.352190810759893</v>
      </c>
      <c r="L19" s="22">
        <v>102.73937044008926</v>
      </c>
      <c r="M19" s="22">
        <v>97.254584589214886</v>
      </c>
    </row>
    <row r="20" spans="1:15" s="11" customFormat="1" x14ac:dyDescent="0.25">
      <c r="A20" s="21" t="s">
        <v>229</v>
      </c>
      <c r="B20" s="22">
        <v>100</v>
      </c>
      <c r="C20" s="22">
        <v>107.04200988956704</v>
      </c>
      <c r="D20" s="22">
        <v>105.98358180330581</v>
      </c>
      <c r="E20" s="22">
        <v>102.12293153407182</v>
      </c>
      <c r="F20" s="22">
        <v>105.03171216173622</v>
      </c>
      <c r="G20" s="22">
        <v>105.68231339005253</v>
      </c>
      <c r="H20" s="22">
        <v>107.9134628644893</v>
      </c>
      <c r="I20" s="22">
        <v>106.46019805063246</v>
      </c>
      <c r="J20" s="22">
        <v>106.62614713568199</v>
      </c>
      <c r="K20" s="22">
        <v>107.64484775479106</v>
      </c>
      <c r="L20" s="22">
        <v>112.70548886534112</v>
      </c>
      <c r="M20" s="22">
        <v>110.48270833931673</v>
      </c>
    </row>
    <row r="21" spans="1:15" s="11" customFormat="1" x14ac:dyDescent="0.25">
      <c r="A21" s="21" t="s">
        <v>230</v>
      </c>
      <c r="B21" s="22">
        <v>100</v>
      </c>
      <c r="C21" s="22">
        <v>101.62474548901196</v>
      </c>
      <c r="D21" s="22">
        <v>102.85350003145317</v>
      </c>
      <c r="E21" s="22">
        <v>98.637395268981194</v>
      </c>
      <c r="F21" s="22">
        <v>97.51851546842444</v>
      </c>
      <c r="G21" s="22">
        <v>103.05382404733287</v>
      </c>
      <c r="H21" s="22">
        <v>101.39054399551186</v>
      </c>
      <c r="I21" s="22">
        <v>103.69866142615737</v>
      </c>
      <c r="J21" s="22">
        <v>101.50809530422407</v>
      </c>
      <c r="K21" s="22">
        <v>100.74684262485877</v>
      </c>
      <c r="L21" s="22">
        <v>106.38273856905391</v>
      </c>
      <c r="M21" s="22">
        <v>103.03251665429249</v>
      </c>
      <c r="O21" s="68"/>
    </row>
    <row r="22" spans="1:15" s="11" customFormat="1" x14ac:dyDescent="0.25">
      <c r="A22" s="21" t="s">
        <v>231</v>
      </c>
      <c r="B22" s="22">
        <v>100</v>
      </c>
      <c r="C22" s="22">
        <v>99.429599424075548</v>
      </c>
      <c r="D22" s="22">
        <v>101.53327099399885</v>
      </c>
      <c r="E22" s="22">
        <v>98.239300536297037</v>
      </c>
      <c r="F22" s="22">
        <v>100.50690620500143</v>
      </c>
      <c r="G22" s="22">
        <v>106.00531054831744</v>
      </c>
      <c r="H22" s="22">
        <v>98.727749580790487</v>
      </c>
      <c r="I22" s="22">
        <v>103.84779586301984</v>
      </c>
      <c r="J22" s="22">
        <v>106.18113082137373</v>
      </c>
      <c r="K22" s="22">
        <v>91.27624630013905</v>
      </c>
      <c r="L22" s="22">
        <v>98.478589572860997</v>
      </c>
      <c r="M22" s="22">
        <v>105.67434209149833</v>
      </c>
      <c r="O22" s="68"/>
    </row>
    <row r="23" spans="1:15" s="11" customFormat="1" x14ac:dyDescent="0.25">
      <c r="A23" s="32" t="s">
        <v>232</v>
      </c>
      <c r="B23" s="22"/>
      <c r="C23" s="22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68"/>
    </row>
    <row r="24" spans="1:15" s="11" customFormat="1" x14ac:dyDescent="0.25">
      <c r="A24" s="21" t="s">
        <v>233</v>
      </c>
      <c r="B24" s="22">
        <v>100</v>
      </c>
      <c r="C24" s="22">
        <v>109.81320875919856</v>
      </c>
      <c r="D24" s="22">
        <v>112.38606647297398</v>
      </c>
      <c r="E24" s="22">
        <v>103.95483069494217</v>
      </c>
      <c r="F24" s="22">
        <v>117.90903714258722</v>
      </c>
      <c r="G24" s="22">
        <v>116.00843111761776</v>
      </c>
      <c r="H24" s="22">
        <v>106.68130525725164</v>
      </c>
      <c r="I24" s="22">
        <v>103.29534254930984</v>
      </c>
      <c r="J24" s="22">
        <v>113.69803617057879</v>
      </c>
      <c r="K24" s="22">
        <v>106.48743334783892</v>
      </c>
      <c r="L24" s="22">
        <v>109.19614626242318</v>
      </c>
      <c r="M24" s="22">
        <v>100.47398516276849</v>
      </c>
      <c r="O24" s="68"/>
    </row>
    <row r="25" spans="1:15" s="11" customFormat="1" x14ac:dyDescent="0.25">
      <c r="A25" s="24" t="s">
        <v>234</v>
      </c>
      <c r="B25" s="22">
        <f>65+6.751636853557</f>
        <v>71.751636853557002</v>
      </c>
      <c r="C25" s="25">
        <f>65+6.25631898643876</f>
        <v>71.256318986438757</v>
      </c>
      <c r="D25" s="25">
        <f>65+5.96289</f>
        <v>70.962890000000002</v>
      </c>
      <c r="E25" s="25">
        <f>65+8.97653581237044</f>
        <v>73.976535812370443</v>
      </c>
      <c r="F25" s="25">
        <f>65+4.74059</f>
        <v>69.740589999999997</v>
      </c>
      <c r="G25" s="25">
        <f>65+4.03534000000001</f>
        <v>69.035340000000005</v>
      </c>
      <c r="H25" s="25">
        <f>65+6.42388741370358</f>
        <v>71.423887413703582</v>
      </c>
      <c r="I25" s="25">
        <f>65+5.90318000000001</f>
        <v>70.903180000000006</v>
      </c>
      <c r="J25" s="25">
        <f>65+6.26913</f>
        <v>71.269130000000004</v>
      </c>
      <c r="K25" s="25">
        <f>65+6.36938000000001</f>
        <v>71.369380000000007</v>
      </c>
      <c r="L25" s="25">
        <f>65+7.30016000000001</f>
        <v>72.300160000000005</v>
      </c>
      <c r="M25" s="25">
        <f>65+6.37393</f>
        <v>71.373930000000001</v>
      </c>
      <c r="O25" s="68"/>
    </row>
    <row r="26" spans="1:15" s="11" customFormat="1" x14ac:dyDescent="0.25">
      <c r="A26" s="21" t="s">
        <v>235</v>
      </c>
      <c r="B26" s="22">
        <v>100</v>
      </c>
      <c r="C26" s="22">
        <v>102.02242206067788</v>
      </c>
      <c r="D26" s="22">
        <v>101.138065799157</v>
      </c>
      <c r="E26" s="22">
        <v>96.364600683841601</v>
      </c>
      <c r="F26" s="22">
        <v>100.48323152427049</v>
      </c>
      <c r="G26" s="22">
        <v>105.10949533632011</v>
      </c>
      <c r="H26" s="22">
        <v>96.888061618490923</v>
      </c>
      <c r="I26" s="22">
        <v>98.798829361234183</v>
      </c>
      <c r="J26" s="22">
        <v>104.51317898867228</v>
      </c>
      <c r="K26" s="22">
        <v>105.55040763957389</v>
      </c>
      <c r="L26" s="22">
        <v>110.90653613816752</v>
      </c>
      <c r="M26" s="22">
        <v>98.791554855427847</v>
      </c>
      <c r="O26" s="68"/>
    </row>
    <row r="27" spans="1:15" s="11" customFormat="1" x14ac:dyDescent="0.25">
      <c r="A27" s="24" t="s">
        <v>307</v>
      </c>
      <c r="B27" s="25">
        <f>65+7.7150581746045</f>
        <v>72.715058174604494</v>
      </c>
      <c r="C27" s="25">
        <f>65+8.3259040609897</f>
        <v>73.3259040609897</v>
      </c>
      <c r="D27" s="25">
        <f>65+7.89492638015047</f>
        <v>72.894926380150466</v>
      </c>
      <c r="E27" s="25">
        <f>65+8.87862705983036</f>
        <v>73.878627059830364</v>
      </c>
      <c r="F27" s="25">
        <f>65+9.41339389431218</f>
        <v>74.413393894312179</v>
      </c>
      <c r="G27" s="25">
        <f>65+8.32682039309749</f>
        <v>73.326820393097492</v>
      </c>
      <c r="H27" s="25">
        <f>65+8.95347928194964</f>
        <v>73.95347928194964</v>
      </c>
      <c r="I27" s="25">
        <f>65+7.82726631645842</f>
        <v>72.82726631645842</v>
      </c>
      <c r="J27" s="25">
        <f>65+7.46437844787178</f>
        <v>72.464378447871781</v>
      </c>
      <c r="K27" s="25">
        <f>65+8.99083213398706</f>
        <v>73.990832133987055</v>
      </c>
      <c r="L27" s="25">
        <f>65+8.73712320379778</f>
        <v>73.737123203797779</v>
      </c>
      <c r="M27" s="25">
        <f>65+9.56894944986772</f>
        <v>74.568949449867716</v>
      </c>
      <c r="O27" s="68"/>
    </row>
    <row r="28" spans="1:15" s="11" customFormat="1" x14ac:dyDescent="0.25">
      <c r="A28" s="21" t="s">
        <v>237</v>
      </c>
      <c r="B28" s="22">
        <v>100</v>
      </c>
      <c r="C28" s="22">
        <v>98.43872579909916</v>
      </c>
      <c r="D28" s="22">
        <v>99.474190761148691</v>
      </c>
      <c r="E28" s="22">
        <v>89.726015403796083</v>
      </c>
      <c r="F28" s="22">
        <v>101.92472934141894</v>
      </c>
      <c r="G28" s="22">
        <v>96.442855743902527</v>
      </c>
      <c r="H28" s="22">
        <v>98.313040703812547</v>
      </c>
      <c r="I28" s="22">
        <v>98.090377510484032</v>
      </c>
      <c r="J28" s="22">
        <v>93.707376923674332</v>
      </c>
      <c r="K28" s="22">
        <v>102.26031061928408</v>
      </c>
      <c r="L28" s="22">
        <v>104.0929160014465</v>
      </c>
      <c r="M28" s="22">
        <v>98.927942765589478</v>
      </c>
      <c r="O28" s="68"/>
    </row>
    <row r="29" spans="1:15" s="11" customFormat="1" x14ac:dyDescent="0.25">
      <c r="A29" s="21" t="s">
        <v>238</v>
      </c>
      <c r="B29" s="22">
        <v>100</v>
      </c>
      <c r="C29" s="22">
        <v>102.40368253780873</v>
      </c>
      <c r="D29" s="22">
        <v>102.73459446021107</v>
      </c>
      <c r="E29" s="22">
        <v>93.057377222879211</v>
      </c>
      <c r="F29" s="22">
        <v>98.040757245426306</v>
      </c>
      <c r="G29" s="22">
        <v>101.50341329313939</v>
      </c>
      <c r="H29" s="22">
        <v>100.69098477434514</v>
      </c>
      <c r="I29" s="22">
        <v>102.19961098755793</v>
      </c>
      <c r="J29" s="22">
        <v>104.15851734617772</v>
      </c>
      <c r="K29" s="22">
        <v>102.03063357050104</v>
      </c>
      <c r="L29" s="22">
        <v>110.88421347010896</v>
      </c>
      <c r="M29" s="22">
        <v>98.337877219456018</v>
      </c>
      <c r="O29" s="68"/>
    </row>
    <row r="30" spans="1:15" s="11" customFormat="1" x14ac:dyDescent="0.25">
      <c r="A30" s="38" t="s">
        <v>239</v>
      </c>
      <c r="B30" s="25"/>
      <c r="C30" s="25"/>
      <c r="D30" s="20"/>
      <c r="E30" s="20"/>
      <c r="F30" s="20"/>
      <c r="G30" s="20"/>
      <c r="H30" s="20"/>
      <c r="I30" s="20"/>
      <c r="J30" s="20"/>
      <c r="K30" s="20"/>
      <c r="L30" s="20"/>
      <c r="M30" s="20"/>
      <c r="O30" s="68"/>
    </row>
    <row r="31" spans="1:15" s="11" customFormat="1" x14ac:dyDescent="0.25">
      <c r="A31" s="39" t="s">
        <v>240</v>
      </c>
      <c r="B31" s="25">
        <v>7.4658701251157149</v>
      </c>
      <c r="C31" s="25">
        <v>7.5495752289697302</v>
      </c>
      <c r="D31" s="25">
        <v>7.5474031245097182</v>
      </c>
      <c r="E31" s="25">
        <v>6.7322801065917988</v>
      </c>
      <c r="F31" s="25">
        <v>7.4270794973834979</v>
      </c>
      <c r="G31" s="41" t="s">
        <v>18</v>
      </c>
      <c r="H31" s="25">
        <v>7.4260232911918811</v>
      </c>
      <c r="I31" s="25">
        <v>7.1745866323972924</v>
      </c>
      <c r="J31" s="25">
        <v>7.6164749848042135</v>
      </c>
      <c r="K31" s="25">
        <v>7.6083995153731072</v>
      </c>
      <c r="L31" s="41" t="s">
        <v>18</v>
      </c>
      <c r="M31" s="25">
        <v>6.5104128307168319</v>
      </c>
      <c r="O31" s="68"/>
    </row>
    <row r="32" spans="1:15" s="11" customFormat="1" x14ac:dyDescent="0.25">
      <c r="A32" s="38" t="s">
        <v>241</v>
      </c>
      <c r="B32" s="25"/>
      <c r="C32" s="25"/>
      <c r="D32" s="25"/>
      <c r="E32" s="25"/>
      <c r="F32" s="181"/>
      <c r="G32" s="41"/>
      <c r="H32" s="25"/>
      <c r="I32" s="25"/>
      <c r="J32" s="25"/>
      <c r="K32" s="25"/>
      <c r="L32" s="41"/>
      <c r="M32" s="181"/>
      <c r="O32" s="68"/>
    </row>
    <row r="33" spans="1:15" s="11" customFormat="1" x14ac:dyDescent="0.25">
      <c r="A33" s="39" t="s">
        <v>242</v>
      </c>
      <c r="B33" s="41">
        <v>5.8125050399999987</v>
      </c>
      <c r="C33" s="41">
        <v>5.6749999999999998</v>
      </c>
      <c r="D33" s="25">
        <v>3.1</v>
      </c>
      <c r="E33" s="25">
        <v>6.5</v>
      </c>
      <c r="F33" s="25">
        <v>6</v>
      </c>
      <c r="G33" s="25">
        <v>6.3</v>
      </c>
      <c r="H33" s="25">
        <v>6.5</v>
      </c>
      <c r="I33" s="25">
        <v>7.7</v>
      </c>
      <c r="J33" s="25">
        <v>6</v>
      </c>
      <c r="K33" s="25">
        <v>7.1</v>
      </c>
      <c r="L33" s="25">
        <v>7.6</v>
      </c>
      <c r="M33" s="25">
        <v>6.3</v>
      </c>
      <c r="O33" s="68"/>
    </row>
    <row r="34" spans="1:15" s="11" customFormat="1" x14ac:dyDescent="0.25">
      <c r="A34" s="39" t="s">
        <v>243</v>
      </c>
      <c r="B34" s="41">
        <v>5.3193624319999993</v>
      </c>
      <c r="C34" s="41">
        <v>6.125</v>
      </c>
      <c r="D34" s="25">
        <v>6.6</v>
      </c>
      <c r="E34" s="25">
        <v>5.7</v>
      </c>
      <c r="F34" s="41">
        <v>6</v>
      </c>
      <c r="G34" s="25">
        <v>6.7</v>
      </c>
      <c r="H34" s="25">
        <v>6</v>
      </c>
      <c r="I34" s="25">
        <v>6.7</v>
      </c>
      <c r="J34" s="25">
        <v>5.5</v>
      </c>
      <c r="K34" s="41">
        <v>6.4</v>
      </c>
      <c r="L34" s="41">
        <v>5.9</v>
      </c>
      <c r="M34" s="41">
        <v>6</v>
      </c>
      <c r="O34" s="68"/>
    </row>
    <row r="35" spans="1:15" s="11" customFormat="1" x14ac:dyDescent="0.25">
      <c r="A35" s="39" t="s">
        <v>244</v>
      </c>
      <c r="B35" s="41">
        <v>6.6860034999999991</v>
      </c>
      <c r="C35" s="41">
        <v>6.8000000000000007</v>
      </c>
      <c r="D35" s="41" t="s">
        <v>265</v>
      </c>
      <c r="E35" s="41" t="s">
        <v>18</v>
      </c>
      <c r="F35" s="41" t="s">
        <v>18</v>
      </c>
      <c r="G35" s="41" t="s">
        <v>18</v>
      </c>
      <c r="H35" s="25">
        <v>6.7</v>
      </c>
      <c r="I35" s="25">
        <v>7.1</v>
      </c>
      <c r="J35" s="41">
        <v>7.6</v>
      </c>
      <c r="K35" s="25">
        <v>6</v>
      </c>
      <c r="L35" s="41" t="s">
        <v>18</v>
      </c>
      <c r="M35" s="41" t="s">
        <v>18</v>
      </c>
      <c r="O35" s="68"/>
    </row>
    <row r="36" spans="1:15" s="11" customFormat="1" x14ac:dyDescent="0.25">
      <c r="A36" s="38" t="s">
        <v>245</v>
      </c>
      <c r="B36" s="41"/>
      <c r="C36" s="41"/>
      <c r="D36" s="41"/>
      <c r="E36" s="41"/>
      <c r="F36" s="41"/>
      <c r="G36" s="41"/>
      <c r="H36" s="25"/>
      <c r="I36" s="25"/>
      <c r="J36" s="41"/>
      <c r="K36" s="25"/>
      <c r="L36" s="41"/>
      <c r="M36" s="41"/>
      <c r="O36" s="68"/>
    </row>
    <row r="37" spans="1:15" s="11" customFormat="1" x14ac:dyDescent="0.25">
      <c r="A37" s="39" t="s">
        <v>246</v>
      </c>
      <c r="B37" s="43" t="s">
        <v>18</v>
      </c>
      <c r="C37" s="43" t="s">
        <v>18</v>
      </c>
      <c r="D37" s="43">
        <v>2017</v>
      </c>
      <c r="E37" s="43">
        <v>2024</v>
      </c>
      <c r="F37" s="43">
        <v>2024</v>
      </c>
      <c r="G37" s="43">
        <v>2025</v>
      </c>
      <c r="H37" s="43">
        <v>2014</v>
      </c>
      <c r="I37" s="43">
        <v>2020</v>
      </c>
      <c r="J37" s="43">
        <v>2012</v>
      </c>
      <c r="K37" s="43">
        <v>2018</v>
      </c>
      <c r="L37" s="43">
        <v>2026</v>
      </c>
      <c r="M37" s="43">
        <v>2024</v>
      </c>
      <c r="O37" s="68"/>
    </row>
    <row r="38" spans="1:15" s="11" customFormat="1" x14ac:dyDescent="0.25">
      <c r="A38" s="39" t="s">
        <v>247</v>
      </c>
      <c r="B38" s="43" t="s">
        <v>18</v>
      </c>
      <c r="C38" s="43" t="s">
        <v>18</v>
      </c>
      <c r="D38" s="44" t="s">
        <v>148</v>
      </c>
      <c r="E38" s="44" t="s">
        <v>151</v>
      </c>
      <c r="F38" s="44" t="s">
        <v>148</v>
      </c>
      <c r="G38" s="44" t="s">
        <v>148</v>
      </c>
      <c r="H38" s="44" t="s">
        <v>156</v>
      </c>
      <c r="I38" s="44" t="s">
        <v>148</v>
      </c>
      <c r="J38" s="44" t="s">
        <v>151</v>
      </c>
      <c r="K38" s="44" t="s">
        <v>156</v>
      </c>
      <c r="L38" s="44" t="s">
        <v>159</v>
      </c>
      <c r="M38" s="44" t="s">
        <v>159</v>
      </c>
      <c r="O38" s="68"/>
    </row>
    <row r="39" spans="1:15" s="11" customFormat="1" x14ac:dyDescent="0.25">
      <c r="A39" s="39" t="s">
        <v>248</v>
      </c>
      <c r="B39" s="43" t="s">
        <v>18</v>
      </c>
      <c r="C39" s="43" t="s">
        <v>18</v>
      </c>
      <c r="D39" s="44" t="s">
        <v>249</v>
      </c>
      <c r="E39" s="44" t="s">
        <v>267</v>
      </c>
      <c r="F39" s="44" t="s">
        <v>249</v>
      </c>
      <c r="G39" s="44" t="s">
        <v>249</v>
      </c>
      <c r="H39" s="44" t="s">
        <v>289</v>
      </c>
      <c r="I39" s="44" t="s">
        <v>249</v>
      </c>
      <c r="J39" s="44" t="s">
        <v>267</v>
      </c>
      <c r="K39" s="44" t="s">
        <v>156</v>
      </c>
      <c r="L39" s="44" t="s">
        <v>159</v>
      </c>
      <c r="M39" s="44" t="s">
        <v>159</v>
      </c>
      <c r="O39" s="68"/>
    </row>
    <row r="40" spans="1:15" x14ac:dyDescent="0.25">
      <c r="A40" s="19" t="s">
        <v>250</v>
      </c>
      <c r="B40" s="43"/>
      <c r="C40" s="43"/>
      <c r="D40" s="43"/>
      <c r="E40" s="43"/>
      <c r="F40" s="20"/>
      <c r="G40" s="43"/>
      <c r="H40" s="43"/>
      <c r="I40" s="43"/>
      <c r="J40" s="43"/>
      <c r="K40" s="43"/>
      <c r="L40" s="43"/>
      <c r="M40" s="20"/>
      <c r="O40" s="68"/>
    </row>
    <row r="41" spans="1:15" x14ac:dyDescent="0.25">
      <c r="A41" s="39" t="s">
        <v>251</v>
      </c>
      <c r="B41" s="43" t="s">
        <v>18</v>
      </c>
      <c r="C41" s="43" t="s">
        <v>18</v>
      </c>
      <c r="D41" s="43">
        <v>12</v>
      </c>
      <c r="E41" s="20">
        <v>9</v>
      </c>
      <c r="F41" s="20">
        <v>9</v>
      </c>
      <c r="G41" s="43">
        <v>5</v>
      </c>
      <c r="H41" s="43">
        <v>20</v>
      </c>
      <c r="I41" s="43">
        <v>12</v>
      </c>
      <c r="J41" s="43">
        <v>18</v>
      </c>
      <c r="K41" s="43">
        <v>12</v>
      </c>
      <c r="L41" s="43">
        <v>5</v>
      </c>
      <c r="M41" s="20">
        <v>9</v>
      </c>
      <c r="O41" s="68"/>
    </row>
    <row r="42" spans="1:15" x14ac:dyDescent="0.25">
      <c r="A42" s="39" t="s">
        <v>252</v>
      </c>
      <c r="B42" s="43" t="s">
        <v>18</v>
      </c>
      <c r="C42" s="43" t="s">
        <v>18</v>
      </c>
      <c r="D42" s="20">
        <v>11</v>
      </c>
      <c r="E42" s="20">
        <v>6</v>
      </c>
      <c r="F42" s="20">
        <v>6</v>
      </c>
      <c r="G42" s="20">
        <v>5</v>
      </c>
      <c r="H42" s="20">
        <v>17</v>
      </c>
      <c r="I42" s="20">
        <v>11</v>
      </c>
      <c r="J42" s="20">
        <v>15</v>
      </c>
      <c r="K42" s="20">
        <v>11</v>
      </c>
      <c r="L42" s="20">
        <v>5</v>
      </c>
      <c r="M42" s="20">
        <v>6</v>
      </c>
      <c r="O42" s="68"/>
    </row>
    <row r="43" spans="1:15" x14ac:dyDescent="0.25">
      <c r="A43" s="39" t="s">
        <v>253</v>
      </c>
      <c r="B43" s="43" t="s">
        <v>18</v>
      </c>
      <c r="C43" s="43" t="s">
        <v>18</v>
      </c>
      <c r="D43" s="20">
        <v>12</v>
      </c>
      <c r="E43" s="20">
        <v>6</v>
      </c>
      <c r="F43" s="20">
        <v>6</v>
      </c>
      <c r="G43" s="20">
        <v>5</v>
      </c>
      <c r="H43" s="20">
        <v>16</v>
      </c>
      <c r="I43" s="20">
        <v>12</v>
      </c>
      <c r="J43" s="20">
        <v>15</v>
      </c>
      <c r="K43" s="20">
        <v>12</v>
      </c>
      <c r="L43" s="20">
        <v>5</v>
      </c>
      <c r="M43" s="20">
        <v>6</v>
      </c>
      <c r="O43" s="68"/>
    </row>
    <row r="44" spans="1:15" x14ac:dyDescent="0.25">
      <c r="A44" s="55" t="s">
        <v>254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O44" s="68"/>
    </row>
    <row r="45" spans="1:15" x14ac:dyDescent="0.25">
      <c r="A45" s="56" t="s">
        <v>255</v>
      </c>
      <c r="B45" s="67"/>
      <c r="C45" s="67"/>
      <c r="D45" s="70"/>
      <c r="E45" s="70"/>
      <c r="F45" s="71"/>
      <c r="G45" s="70"/>
      <c r="H45" s="70"/>
      <c r="I45" s="72"/>
      <c r="J45" s="70"/>
      <c r="K45" s="72"/>
      <c r="L45" s="70"/>
      <c r="M45" s="71"/>
      <c r="O45" s="68"/>
    </row>
    <row r="46" spans="1:15" x14ac:dyDescent="0.25">
      <c r="A46" s="56" t="s">
        <v>256</v>
      </c>
      <c r="B46" s="67"/>
      <c r="C46" s="67"/>
      <c r="D46" s="70"/>
      <c r="E46" s="70"/>
      <c r="F46" s="71"/>
      <c r="G46" s="70"/>
      <c r="H46" s="70"/>
      <c r="I46" s="70"/>
      <c r="J46" s="70"/>
      <c r="K46" s="70"/>
      <c r="L46" s="70"/>
      <c r="M46" s="71"/>
    </row>
    <row r="47" spans="1:15" x14ac:dyDescent="0.25">
      <c r="A47" s="56" t="s">
        <v>257</v>
      </c>
      <c r="B47" s="67"/>
      <c r="C47" s="67"/>
      <c r="D47" s="70"/>
      <c r="E47" s="70"/>
      <c r="F47" s="71"/>
      <c r="G47" s="70"/>
      <c r="H47" s="70"/>
      <c r="I47" s="70"/>
      <c r="J47" s="70"/>
      <c r="K47" s="70"/>
      <c r="L47" s="70"/>
      <c r="M47" s="71"/>
    </row>
    <row r="48" spans="1:15" x14ac:dyDescent="0.25">
      <c r="A48" s="55" t="s">
        <v>258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</row>
    <row r="49" spans="1:13" x14ac:dyDescent="0.25">
      <c r="A49" s="57" t="s">
        <v>259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</row>
    <row r="50" spans="1:13" x14ac:dyDescent="0.25">
      <c r="E50" s="84"/>
    </row>
    <row r="61" spans="1:13" x14ac:dyDescent="0.25">
      <c r="E61" s="84"/>
    </row>
    <row r="69" spans="4:5" x14ac:dyDescent="0.25">
      <c r="E69" s="84"/>
    </row>
    <row r="70" spans="4:5" x14ac:dyDescent="0.25">
      <c r="E70" s="84"/>
    </row>
    <row r="71" spans="4:5" x14ac:dyDescent="0.25">
      <c r="D71" s="84"/>
    </row>
  </sheetData>
  <conditionalFormatting sqref="E25 G25">
    <cfRule type="cellIs" dxfId="126" priority="2" stopIfTrue="1" operator="greaterThan">
      <formula>"7.5+$Z$37"</formula>
    </cfRule>
  </conditionalFormatting>
  <conditionalFormatting sqref="E25:J25 L25">
    <cfRule type="cellIs" dxfId="125" priority="3" stopIfTrue="1" operator="greaterThan">
      <formula>"7.5+1.35"</formula>
    </cfRule>
  </conditionalFormatting>
  <conditionalFormatting sqref="G25 E25">
    <cfRule type="aboveAverage" priority="1" stopIfTrue="1"/>
  </conditionalFormatting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A3B0D-D2CF-4101-9828-1D7D0ACBC187}">
  <dimension ref="A1:AG43"/>
  <sheetViews>
    <sheetView workbookViewId="0"/>
  </sheetViews>
  <sheetFormatPr defaultColWidth="9.28515625" defaultRowHeight="15" x14ac:dyDescent="0.25"/>
  <cols>
    <col min="1" max="1" width="125.42578125" bestFit="1" customWidth="1"/>
    <col min="2" max="2" width="23.7109375" style="73" bestFit="1" customWidth="1"/>
    <col min="3" max="3" width="27" style="73" bestFit="1" customWidth="1"/>
    <col min="4" max="4" width="12" style="73" bestFit="1" customWidth="1"/>
    <col min="5" max="5" width="10.5703125" style="73" bestFit="1" customWidth="1"/>
    <col min="6" max="6" width="9.42578125" style="73" bestFit="1" customWidth="1"/>
    <col min="7" max="7" width="8.85546875" style="73" bestFit="1" customWidth="1"/>
    <col min="8" max="8" width="11.85546875" style="73" bestFit="1" customWidth="1"/>
    <col min="9" max="9" width="9.28515625" style="73" bestFit="1"/>
    <col min="10" max="10" width="9.85546875" style="73" bestFit="1" customWidth="1"/>
    <col min="11" max="11" width="18.28515625" style="73" bestFit="1" customWidth="1"/>
    <col min="12" max="12" width="11.42578125" style="73" bestFit="1" customWidth="1"/>
    <col min="13" max="15" width="9.42578125" style="73" bestFit="1" customWidth="1"/>
  </cols>
  <sheetData>
    <row r="1" spans="1:33" s="86" customFormat="1" x14ac:dyDescent="0.25">
      <c r="A1" s="59" t="s">
        <v>192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33" s="86" customFormat="1" x14ac:dyDescent="0.25">
      <c r="A2" s="59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33" s="75" customFormat="1" x14ac:dyDescent="0.25">
      <c r="A3" s="74" t="s">
        <v>192</v>
      </c>
      <c r="B3" s="74" t="s">
        <v>208</v>
      </c>
      <c r="C3" s="74" t="s">
        <v>359</v>
      </c>
      <c r="D3" s="74" t="s">
        <v>360</v>
      </c>
      <c r="E3" s="74" t="s">
        <v>361</v>
      </c>
      <c r="F3" s="74" t="s">
        <v>362</v>
      </c>
      <c r="G3" s="74" t="s">
        <v>363</v>
      </c>
      <c r="H3" s="74" t="s">
        <v>364</v>
      </c>
      <c r="I3" s="74" t="s">
        <v>365</v>
      </c>
      <c r="J3" s="74" t="s">
        <v>366</v>
      </c>
      <c r="K3" s="74" t="s">
        <v>367</v>
      </c>
      <c r="L3" s="74" t="s">
        <v>368</v>
      </c>
      <c r="M3" s="74" t="s">
        <v>369</v>
      </c>
      <c r="N3" s="74" t="s">
        <v>370</v>
      </c>
      <c r="O3" s="74" t="s">
        <v>371</v>
      </c>
    </row>
    <row r="4" spans="1:33" s="88" customFormat="1" ht="12.75" x14ac:dyDescent="0.2">
      <c r="A4" s="14" t="s">
        <v>213</v>
      </c>
      <c r="B4" s="87" t="s">
        <v>18</v>
      </c>
      <c r="C4" s="87" t="s">
        <v>18</v>
      </c>
      <c r="D4" s="16" t="s">
        <v>12</v>
      </c>
      <c r="E4" s="16" t="s">
        <v>6</v>
      </c>
      <c r="F4" s="16" t="s">
        <v>12</v>
      </c>
      <c r="G4" s="16" t="s">
        <v>6</v>
      </c>
      <c r="H4" s="16" t="s">
        <v>12</v>
      </c>
      <c r="I4" s="16" t="s">
        <v>6</v>
      </c>
      <c r="J4" s="16" t="s">
        <v>6</v>
      </c>
      <c r="K4" s="16" t="s">
        <v>12</v>
      </c>
      <c r="L4" s="16" t="s">
        <v>6</v>
      </c>
      <c r="M4" s="16" t="s">
        <v>6</v>
      </c>
      <c r="N4" s="16" t="s">
        <v>12</v>
      </c>
      <c r="O4" s="16" t="s">
        <v>12</v>
      </c>
    </row>
    <row r="5" spans="1:33" x14ac:dyDescent="0.25">
      <c r="A5" s="17" t="s">
        <v>214</v>
      </c>
      <c r="B5" s="87" t="s">
        <v>18</v>
      </c>
      <c r="C5" s="87" t="s">
        <v>18</v>
      </c>
      <c r="D5" s="89">
        <v>140.249</v>
      </c>
      <c r="E5" s="89">
        <v>140.47800000000001</v>
      </c>
      <c r="F5" s="89">
        <v>141.50400000000002</v>
      </c>
      <c r="G5" s="89">
        <v>141.51499999999999</v>
      </c>
      <c r="H5" s="89">
        <v>141.60899999999998</v>
      </c>
      <c r="I5" s="89">
        <v>141.95099999999999</v>
      </c>
      <c r="J5" s="89">
        <v>142.32900000000001</v>
      </c>
      <c r="K5" s="89">
        <v>142.50299999999999</v>
      </c>
      <c r="L5" s="89">
        <v>143.065</v>
      </c>
      <c r="M5" s="89">
        <v>143.18700000000001</v>
      </c>
      <c r="N5" s="89">
        <v>143.98599999999999</v>
      </c>
      <c r="O5" s="89">
        <v>144.04399999999998</v>
      </c>
    </row>
    <row r="6" spans="1:33" s="11" customFormat="1" x14ac:dyDescent="0.25">
      <c r="A6" s="17" t="s">
        <v>372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Q6"/>
      <c r="R6"/>
      <c r="S6"/>
      <c r="T6"/>
      <c r="U6"/>
      <c r="V6"/>
      <c r="W6"/>
      <c r="X6"/>
      <c r="Y6"/>
    </row>
    <row r="7" spans="1:33" s="90" customFormat="1" x14ac:dyDescent="0.25">
      <c r="A7" s="26" t="s">
        <v>373</v>
      </c>
      <c r="B7" s="27">
        <v>100</v>
      </c>
      <c r="C7" s="27">
        <v>99.789655726164938</v>
      </c>
      <c r="D7" s="27">
        <v>100.53071664515967</v>
      </c>
      <c r="E7" s="27">
        <v>99.569121462818856</v>
      </c>
      <c r="F7" s="27">
        <v>100.87176743710276</v>
      </c>
      <c r="G7" s="27">
        <v>99.014636029784782</v>
      </c>
      <c r="H7" s="27">
        <v>102.56302564758055</v>
      </c>
      <c r="I7" s="27">
        <v>100.49463511388895</v>
      </c>
      <c r="J7" s="27">
        <v>99.397514016714752</v>
      </c>
      <c r="K7" s="27">
        <v>99.377734950602488</v>
      </c>
      <c r="L7" s="27">
        <v>100.68796531165921</v>
      </c>
      <c r="M7" s="27">
        <v>99.57406242212312</v>
      </c>
      <c r="N7" s="27">
        <v>104.06516049309505</v>
      </c>
      <c r="O7" s="27">
        <v>101.81012484650734</v>
      </c>
      <c r="P7" s="11"/>
      <c r="Q7"/>
      <c r="R7"/>
      <c r="S7"/>
      <c r="T7"/>
      <c r="U7"/>
      <c r="V7"/>
      <c r="W7"/>
      <c r="X7"/>
      <c r="Y7"/>
      <c r="Z7" s="11"/>
      <c r="AA7" s="11"/>
      <c r="AB7" s="11"/>
      <c r="AC7" s="11"/>
      <c r="AD7" s="11"/>
      <c r="AE7" s="11"/>
      <c r="AF7" s="11"/>
      <c r="AG7" s="11"/>
    </row>
    <row r="8" spans="1:33" s="31" customFormat="1" x14ac:dyDescent="0.25">
      <c r="A8" s="26" t="s">
        <v>374</v>
      </c>
      <c r="B8" s="27">
        <v>100</v>
      </c>
      <c r="C8" s="27">
        <v>100.54631242984406</v>
      </c>
      <c r="D8" s="27">
        <v>102.65374313336258</v>
      </c>
      <c r="E8" s="27">
        <v>100.95503958140799</v>
      </c>
      <c r="F8" s="27">
        <v>104.86026667831365</v>
      </c>
      <c r="G8" s="27">
        <v>100.52798084888053</v>
      </c>
      <c r="H8" s="27">
        <v>101.1103362947171</v>
      </c>
      <c r="I8" s="27">
        <v>98.432891428470441</v>
      </c>
      <c r="J8" s="27">
        <v>100.56855591369893</v>
      </c>
      <c r="K8" s="27">
        <v>97.398967476543575</v>
      </c>
      <c r="L8" s="27">
        <v>100.74690956526788</v>
      </c>
      <c r="M8" s="27">
        <v>102.04649724133861</v>
      </c>
      <c r="N8" s="27">
        <v>105.22453170212593</v>
      </c>
      <c r="O8" s="27">
        <v>103.808585564316</v>
      </c>
      <c r="P8" s="11"/>
      <c r="Q8"/>
      <c r="R8"/>
      <c r="S8"/>
      <c r="T8"/>
      <c r="U8"/>
      <c r="V8"/>
      <c r="W8"/>
      <c r="X8"/>
      <c r="Y8"/>
      <c r="Z8" s="11"/>
      <c r="AA8" s="11"/>
      <c r="AB8" s="11"/>
      <c r="AC8" s="11"/>
      <c r="AD8" s="11"/>
      <c r="AE8" s="11"/>
      <c r="AF8" s="11"/>
      <c r="AG8" s="11"/>
    </row>
    <row r="9" spans="1:33" s="31" customFormat="1" x14ac:dyDescent="0.25">
      <c r="A9" s="26" t="s">
        <v>375</v>
      </c>
      <c r="B9" s="27">
        <v>100</v>
      </c>
      <c r="C9" s="79">
        <v>100.15265736463145</v>
      </c>
      <c r="D9" s="27">
        <v>101.59222988926113</v>
      </c>
      <c r="E9" s="27">
        <v>100.22908247167082</v>
      </c>
      <c r="F9" s="27">
        <v>102.40580560679926</v>
      </c>
      <c r="G9" s="27">
        <v>99.73527641983037</v>
      </c>
      <c r="H9" s="27">
        <v>101.83668097114882</v>
      </c>
      <c r="I9" s="27">
        <v>99.524402791339057</v>
      </c>
      <c r="J9" s="27">
        <v>99.959614127267159</v>
      </c>
      <c r="K9" s="27">
        <v>98.4279265630542</v>
      </c>
      <c r="L9" s="27">
        <v>100.71615604164597</v>
      </c>
      <c r="M9" s="27">
        <v>100.75141233603526</v>
      </c>
      <c r="N9" s="27">
        <v>104.64484609761048</v>
      </c>
      <c r="O9" s="27">
        <v>102.57876358412607</v>
      </c>
      <c r="P9" s="11"/>
      <c r="Q9"/>
      <c r="R9"/>
      <c r="S9"/>
      <c r="T9"/>
      <c r="U9"/>
      <c r="V9"/>
      <c r="W9"/>
      <c r="X9"/>
      <c r="Y9"/>
      <c r="Z9" s="11"/>
      <c r="AA9" s="11"/>
      <c r="AB9" s="11"/>
      <c r="AC9" s="11"/>
      <c r="AD9" s="11"/>
      <c r="AE9" s="11"/>
      <c r="AF9" s="11"/>
      <c r="AG9" s="11"/>
    </row>
    <row r="10" spans="1:33" s="31" customFormat="1" x14ac:dyDescent="0.25">
      <c r="A10" s="28" t="s">
        <v>376</v>
      </c>
      <c r="B10" s="27">
        <v>100</v>
      </c>
      <c r="C10" s="27">
        <v>98.900373219315071</v>
      </c>
      <c r="D10" s="27">
        <v>97.108602825162762</v>
      </c>
      <c r="E10" s="27">
        <v>99.291586175964241</v>
      </c>
      <c r="F10" s="27">
        <v>98.214493438486443</v>
      </c>
      <c r="G10" s="27">
        <v>96.586232939802258</v>
      </c>
      <c r="H10" s="27">
        <v>101.03780924172933</v>
      </c>
      <c r="I10" s="27">
        <v>99.054155859573541</v>
      </c>
      <c r="J10" s="27">
        <v>99.871467274004885</v>
      </c>
      <c r="K10" s="27">
        <v>97.37377211344716</v>
      </c>
      <c r="L10" s="27">
        <v>98.427575627017518</v>
      </c>
      <c r="M10" s="27">
        <v>100.17122143952807</v>
      </c>
      <c r="N10" s="27">
        <v>99.379787609859292</v>
      </c>
      <c r="O10" s="27">
        <v>100.42738345073732</v>
      </c>
      <c r="P10" s="11"/>
      <c r="Q10"/>
      <c r="R10"/>
      <c r="S10"/>
      <c r="T10"/>
      <c r="U10"/>
      <c r="V10"/>
      <c r="W10"/>
      <c r="X10"/>
      <c r="Y10"/>
      <c r="Z10" s="11"/>
      <c r="AA10" s="11"/>
      <c r="AB10" s="11"/>
      <c r="AC10" s="11"/>
      <c r="AD10" s="11"/>
      <c r="AE10" s="11"/>
      <c r="AF10" s="11"/>
      <c r="AG10" s="11"/>
    </row>
    <row r="11" spans="1:33" s="31" customFormat="1" x14ac:dyDescent="0.25">
      <c r="A11" s="26" t="s">
        <v>377</v>
      </c>
      <c r="B11" s="27">
        <v>100</v>
      </c>
      <c r="C11" s="27">
        <v>96.156927485823431</v>
      </c>
      <c r="D11" s="79" t="s">
        <v>18</v>
      </c>
      <c r="E11" s="27">
        <v>92.29683220259021</v>
      </c>
      <c r="F11" s="79" t="s">
        <v>18</v>
      </c>
      <c r="G11" s="27">
        <v>103.10807661601878</v>
      </c>
      <c r="H11" s="79" t="s">
        <v>18</v>
      </c>
      <c r="I11" s="27">
        <v>93.754431937454655</v>
      </c>
      <c r="J11" s="27">
        <v>96.848644331631277</v>
      </c>
      <c r="K11" s="27">
        <v>93.229805014954906</v>
      </c>
      <c r="L11" s="27">
        <v>102.67231803962996</v>
      </c>
      <c r="M11" s="27">
        <v>88.261261787615751</v>
      </c>
      <c r="N11" s="79" t="s">
        <v>18</v>
      </c>
      <c r="O11" s="79" t="s">
        <v>18</v>
      </c>
      <c r="P11" s="11"/>
      <c r="Q11"/>
      <c r="R11"/>
      <c r="S11"/>
      <c r="T11"/>
      <c r="U11"/>
      <c r="V11"/>
      <c r="W11"/>
      <c r="X11"/>
      <c r="Y11"/>
      <c r="Z11" s="11"/>
      <c r="AA11" s="11"/>
      <c r="AB11" s="11"/>
      <c r="AC11" s="11"/>
      <c r="AD11" s="11"/>
      <c r="AE11" s="11"/>
      <c r="AF11" s="11"/>
      <c r="AG11" s="11"/>
    </row>
    <row r="12" spans="1:33" s="93" customFormat="1" x14ac:dyDescent="0.25">
      <c r="A12" s="14" t="s">
        <v>378</v>
      </c>
      <c r="B12" s="64"/>
      <c r="C12" s="91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92"/>
      <c r="Q12" s="68"/>
      <c r="R12" s="68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</row>
    <row r="13" spans="1:33" s="31" customFormat="1" x14ac:dyDescent="0.25">
      <c r="A13" s="26" t="s">
        <v>379</v>
      </c>
      <c r="B13" s="27">
        <v>100</v>
      </c>
      <c r="C13" s="27">
        <v>100.88421006069709</v>
      </c>
      <c r="D13" s="27">
        <v>90.407809531942277</v>
      </c>
      <c r="E13" s="27">
        <v>100.6207417021003</v>
      </c>
      <c r="F13" s="27">
        <v>102.63421508928882</v>
      </c>
      <c r="G13" s="27">
        <v>103.20257131324685</v>
      </c>
      <c r="H13" s="27">
        <v>105.61333629737611</v>
      </c>
      <c r="I13" s="27">
        <v>98.336923796478473</v>
      </c>
      <c r="J13" s="27">
        <v>92.515010938509619</v>
      </c>
      <c r="K13" s="27">
        <v>106.28459068777525</v>
      </c>
      <c r="L13" s="27">
        <v>106.19669625291397</v>
      </c>
      <c r="M13" s="27">
        <v>104.4333163609332</v>
      </c>
      <c r="N13" s="27">
        <v>107.22697980434273</v>
      </c>
      <c r="O13" s="27">
        <v>106.61367661926201</v>
      </c>
      <c r="P13" s="11"/>
      <c r="Q13" s="68"/>
      <c r="R13" s="68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 s="31" customFormat="1" x14ac:dyDescent="0.25">
      <c r="A14" s="21" t="s">
        <v>380</v>
      </c>
      <c r="B14" s="27">
        <v>100</v>
      </c>
      <c r="C14" s="27">
        <v>97.697247963248003</v>
      </c>
      <c r="D14" s="27">
        <v>100.23147210110798</v>
      </c>
      <c r="E14" s="27">
        <v>99.977513209453448</v>
      </c>
      <c r="F14" s="27">
        <v>101.66327170522429</v>
      </c>
      <c r="G14" s="27">
        <v>98.097674470655022</v>
      </c>
      <c r="H14" s="27">
        <v>100.42005875267606</v>
      </c>
      <c r="I14" s="27">
        <v>97.097723150868987</v>
      </c>
      <c r="J14" s="27">
        <v>98.049524097686472</v>
      </c>
      <c r="K14" s="27">
        <v>100.38983889764279</v>
      </c>
      <c r="L14" s="27">
        <v>94.944511485345146</v>
      </c>
      <c r="M14" s="27">
        <v>98.016541365478943</v>
      </c>
      <c r="N14" s="27">
        <v>99.908449552431449</v>
      </c>
      <c r="O14" s="27">
        <v>100.68565115989077</v>
      </c>
      <c r="P14" s="11"/>
      <c r="Q14" s="68"/>
      <c r="R14" s="68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s="31" customFormat="1" x14ac:dyDescent="0.25">
      <c r="A15" s="94" t="s">
        <v>381</v>
      </c>
      <c r="B15" s="91">
        <v>71.846999999999994</v>
      </c>
      <c r="C15" s="91">
        <v>71.661199966828093</v>
      </c>
      <c r="D15" s="91">
        <v>70.334469770455684</v>
      </c>
      <c r="E15" s="91">
        <v>71.158322036395759</v>
      </c>
      <c r="F15" s="91">
        <v>70.286259550603361</v>
      </c>
      <c r="G15" s="91">
        <v>71.43104930912304</v>
      </c>
      <c r="H15" s="91">
        <v>70.866778771796817</v>
      </c>
      <c r="I15" s="91">
        <v>71.934802210938145</v>
      </c>
      <c r="J15" s="91">
        <v>71.713842722698956</v>
      </c>
      <c r="K15" s="91">
        <v>70.385542481821602</v>
      </c>
      <c r="L15" s="91">
        <v>71.87358875814428</v>
      </c>
      <c r="M15" s="91">
        <v>71.855594763668506</v>
      </c>
      <c r="N15" s="91">
        <v>69.641983407514417</v>
      </c>
      <c r="O15" s="91">
        <v>71.658070875085215</v>
      </c>
      <c r="P15" s="11"/>
      <c r="Q15" s="68"/>
      <c r="R15" s="68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1:33" s="31" customFormat="1" x14ac:dyDescent="0.25">
      <c r="A16" s="21" t="s">
        <v>382</v>
      </c>
      <c r="B16" s="27">
        <v>100</v>
      </c>
      <c r="C16" s="27">
        <v>100.97620871508585</v>
      </c>
      <c r="D16" s="27">
        <v>95.744364939654702</v>
      </c>
      <c r="E16" s="27">
        <v>101.88548996277277</v>
      </c>
      <c r="F16" s="27">
        <v>96.791898985409887</v>
      </c>
      <c r="G16" s="27">
        <v>95.925451317569681</v>
      </c>
      <c r="H16" s="27">
        <v>106.51865294419618</v>
      </c>
      <c r="I16" s="27">
        <v>100.72763011509568</v>
      </c>
      <c r="J16" s="27">
        <v>103.42019361316891</v>
      </c>
      <c r="K16" s="27">
        <v>96.225283912342334</v>
      </c>
      <c r="L16" s="27">
        <v>103.51339434445762</v>
      </c>
      <c r="M16" s="27">
        <v>100.38509293745051</v>
      </c>
      <c r="N16" s="27">
        <v>104.83266898056152</v>
      </c>
      <c r="O16" s="27">
        <v>99.680163548761072</v>
      </c>
      <c r="P16" s="11"/>
      <c r="Q16" s="68"/>
      <c r="R16" s="68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</row>
    <row r="17" spans="1:33" s="95" customFormat="1" x14ac:dyDescent="0.25">
      <c r="A17" s="24" t="s">
        <v>383</v>
      </c>
      <c r="B17" s="91">
        <v>65.439390000000003</v>
      </c>
      <c r="C17" s="91">
        <v>65.392507916363897</v>
      </c>
      <c r="D17" s="91">
        <v>65.548352186023735</v>
      </c>
      <c r="E17" s="91">
        <v>64.741844953520868</v>
      </c>
      <c r="F17" s="91">
        <v>64.699205180962593</v>
      </c>
      <c r="G17" s="91">
        <v>65.345058976678601</v>
      </c>
      <c r="H17" s="91">
        <v>64.236867422296669</v>
      </c>
      <c r="I17" s="91">
        <v>65.883359211917067</v>
      </c>
      <c r="J17" s="91">
        <v>65.412885278549652</v>
      </c>
      <c r="K17" s="91">
        <v>65.063665704315952</v>
      </c>
      <c r="L17" s="91">
        <v>65.692054123996144</v>
      </c>
      <c r="M17" s="91">
        <v>65.279844953520907</v>
      </c>
      <c r="N17" s="91">
        <v>64.491149337424233</v>
      </c>
      <c r="O17" s="91">
        <v>65.8650919905065</v>
      </c>
      <c r="P17" s="69"/>
      <c r="Q17" s="68"/>
      <c r="R17" s="68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</row>
    <row r="18" spans="1:33" s="31" customFormat="1" x14ac:dyDescent="0.25">
      <c r="A18" s="21" t="s">
        <v>384</v>
      </c>
      <c r="B18" s="27">
        <v>100</v>
      </c>
      <c r="C18" s="27">
        <v>100.97418168123139</v>
      </c>
      <c r="D18" s="27">
        <v>106.94483151090148</v>
      </c>
      <c r="E18" s="27">
        <v>96.906970077731359</v>
      </c>
      <c r="F18" s="27">
        <v>102.63875138268307</v>
      </c>
      <c r="G18" s="27">
        <v>101.18938000815022</v>
      </c>
      <c r="H18" s="27">
        <v>101.3514505339519</v>
      </c>
      <c r="I18" s="27">
        <v>105.13358360303447</v>
      </c>
      <c r="J18" s="27">
        <v>99.7959461424675</v>
      </c>
      <c r="K18" s="27">
        <v>98.259620649054796</v>
      </c>
      <c r="L18" s="27">
        <v>103.61579555664153</v>
      </c>
      <c r="M18" s="27">
        <v>99.203414699363108</v>
      </c>
      <c r="N18" s="27">
        <v>107.69364263356395</v>
      </c>
      <c r="O18" s="27">
        <v>103.12852754440085</v>
      </c>
      <c r="P18" s="11"/>
      <c r="Q18" s="68"/>
      <c r="R18" s="68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</row>
    <row r="19" spans="1:33" s="33" customFormat="1" x14ac:dyDescent="0.25">
      <c r="A19" s="38" t="s">
        <v>239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11"/>
      <c r="Q19" s="68"/>
      <c r="R19" s="68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1:33" s="11" customFormat="1" x14ac:dyDescent="0.25">
      <c r="A20" s="96" t="s">
        <v>385</v>
      </c>
      <c r="B20" s="27">
        <v>60.84</v>
      </c>
      <c r="C20" s="27">
        <v>62.928587543732398</v>
      </c>
      <c r="D20" s="27">
        <v>61.845896055549062</v>
      </c>
      <c r="E20" s="27">
        <v>60.700266063807696</v>
      </c>
      <c r="F20" s="27">
        <v>66.098486367286625</v>
      </c>
      <c r="G20" s="27">
        <v>62.841175154716758</v>
      </c>
      <c r="H20" s="27">
        <v>62.915237903144707</v>
      </c>
      <c r="I20" s="27">
        <v>65.396440827228147</v>
      </c>
      <c r="J20" s="27">
        <v>62.598502416552371</v>
      </c>
      <c r="K20" s="27">
        <v>61.744202155439517</v>
      </c>
      <c r="L20" s="27">
        <v>63.207602009008973</v>
      </c>
      <c r="M20" s="27">
        <v>62.827538791080386</v>
      </c>
      <c r="N20" s="27">
        <v>69.068712103425824</v>
      </c>
      <c r="O20" s="27">
        <v>65.29845329411576</v>
      </c>
      <c r="Q20" s="68"/>
      <c r="R20" s="68"/>
    </row>
    <row r="21" spans="1:33" s="11" customFormat="1" x14ac:dyDescent="0.25">
      <c r="A21" s="24" t="s">
        <v>386</v>
      </c>
      <c r="B21" s="27">
        <v>52.427999999999997</v>
      </c>
      <c r="C21" s="27">
        <v>54.073853974107919</v>
      </c>
      <c r="D21" s="27">
        <v>58.117662578847835</v>
      </c>
      <c r="E21" s="27">
        <v>46.455296179628682</v>
      </c>
      <c r="F21" s="27">
        <v>61.111006977788598</v>
      </c>
      <c r="G21" s="27">
        <v>53.889496179628694</v>
      </c>
      <c r="H21" s="27">
        <v>52.086887929762817</v>
      </c>
      <c r="I21" s="27">
        <v>56.690420975518563</v>
      </c>
      <c r="J21" s="27">
        <v>55.875752930169881</v>
      </c>
      <c r="K21" s="27">
        <v>52.950906913058425</v>
      </c>
      <c r="L21" s="27">
        <v>54.514361400072978</v>
      </c>
      <c r="M21" s="27">
        <v>57.017796179628689</v>
      </c>
      <c r="N21" s="27">
        <v>58.71623559776539</v>
      </c>
      <c r="O21" s="27">
        <v>59.280241089606442</v>
      </c>
      <c r="Q21" s="68"/>
      <c r="R21" s="68"/>
    </row>
    <row r="22" spans="1:33" s="97" customFormat="1" x14ac:dyDescent="0.25">
      <c r="A22" s="39" t="s">
        <v>240</v>
      </c>
      <c r="B22" s="91">
        <v>7.6019800000000002</v>
      </c>
      <c r="C22" s="91">
        <v>7.5468204646344681</v>
      </c>
      <c r="D22" s="40" t="s">
        <v>344</v>
      </c>
      <c r="E22" s="91">
        <v>7.3252041468210134</v>
      </c>
      <c r="F22" s="40" t="s">
        <v>387</v>
      </c>
      <c r="G22" s="91">
        <v>7.6421627804815158</v>
      </c>
      <c r="H22" s="40" t="s">
        <v>18</v>
      </c>
      <c r="I22" s="91">
        <v>7.5625459335272618</v>
      </c>
      <c r="J22" s="40">
        <v>7.1941228620145887</v>
      </c>
      <c r="K22" s="91">
        <v>8.2186946949270485</v>
      </c>
      <c r="L22" s="40">
        <v>7.6405057849202187</v>
      </c>
      <c r="M22" s="91">
        <v>7.9163812800422111</v>
      </c>
      <c r="N22" s="40" t="s">
        <v>18</v>
      </c>
      <c r="O22" s="40" t="s">
        <v>344</v>
      </c>
      <c r="P22" s="11"/>
      <c r="Q22" s="68"/>
      <c r="R22" s="68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</row>
    <row r="23" spans="1:33" s="98" customFormat="1" x14ac:dyDescent="0.25">
      <c r="A23" s="14" t="s">
        <v>241</v>
      </c>
      <c r="B23" s="64"/>
      <c r="C23" s="64"/>
      <c r="D23" s="91"/>
      <c r="E23" s="64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2"/>
      <c r="Q23" s="92"/>
      <c r="R23" s="68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</row>
    <row r="24" spans="1:33" s="100" customFormat="1" ht="12.75" x14ac:dyDescent="0.25">
      <c r="A24" s="96" t="s">
        <v>242</v>
      </c>
      <c r="B24" s="40">
        <v>7.3636363636363633</v>
      </c>
      <c r="C24" s="40">
        <v>7.5000000000000009</v>
      </c>
      <c r="D24" s="40" t="s">
        <v>388</v>
      </c>
      <c r="E24" s="91">
        <v>6.5</v>
      </c>
      <c r="F24" s="40">
        <v>8.9</v>
      </c>
      <c r="G24" s="40">
        <v>8.3000000000000007</v>
      </c>
      <c r="H24" s="40">
        <v>8.3000000000000007</v>
      </c>
      <c r="I24" s="91">
        <v>7.4</v>
      </c>
      <c r="J24" s="40">
        <v>7.2</v>
      </c>
      <c r="K24" s="40">
        <v>7.3</v>
      </c>
      <c r="L24" s="40">
        <v>7.1</v>
      </c>
      <c r="M24" s="40">
        <v>8.5</v>
      </c>
      <c r="N24" s="40">
        <v>8.1</v>
      </c>
      <c r="O24" s="40">
        <v>8.9</v>
      </c>
      <c r="P24" s="99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</row>
    <row r="25" spans="1:33" s="101" customFormat="1" ht="12.75" x14ac:dyDescent="0.25">
      <c r="A25" s="96" t="s">
        <v>243</v>
      </c>
      <c r="B25" s="40">
        <v>5.6090909090909093</v>
      </c>
      <c r="C25" s="40">
        <v>4.5333333333333332</v>
      </c>
      <c r="D25" s="40">
        <v>5.0999999999999996</v>
      </c>
      <c r="E25" s="91">
        <v>4.0999999999999996</v>
      </c>
      <c r="F25" s="40" t="s">
        <v>389</v>
      </c>
      <c r="G25" s="40">
        <v>4.5</v>
      </c>
      <c r="H25" s="40">
        <v>3.1</v>
      </c>
      <c r="I25" s="40">
        <v>4.4000000000000004</v>
      </c>
      <c r="J25" s="40">
        <v>4.9000000000000004</v>
      </c>
      <c r="K25" s="40">
        <v>5.2</v>
      </c>
      <c r="L25" s="40">
        <v>4.5</v>
      </c>
      <c r="M25" s="40">
        <v>4.8</v>
      </c>
      <c r="N25" s="40">
        <v>3.7</v>
      </c>
      <c r="O25" s="40" t="s">
        <v>390</v>
      </c>
      <c r="P25" s="99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</row>
    <row r="26" spans="1:33" s="100" customFormat="1" ht="12.75" x14ac:dyDescent="0.25">
      <c r="A26" s="96" t="s">
        <v>244</v>
      </c>
      <c r="B26" s="40">
        <v>7.2727272727272725</v>
      </c>
      <c r="C26" s="40">
        <v>7.8500000000000005</v>
      </c>
      <c r="D26" s="40">
        <v>8.1999999999999993</v>
      </c>
      <c r="E26" s="40">
        <v>7.3</v>
      </c>
      <c r="F26" s="40">
        <v>5.9</v>
      </c>
      <c r="G26" s="40">
        <v>7.9</v>
      </c>
      <c r="H26" s="40" t="s">
        <v>391</v>
      </c>
      <c r="I26" s="40">
        <v>8.1999999999999993</v>
      </c>
      <c r="J26" s="40">
        <v>7.8</v>
      </c>
      <c r="K26" s="40">
        <v>7.9</v>
      </c>
      <c r="L26" s="40">
        <v>8</v>
      </c>
      <c r="M26" s="40">
        <v>7.9</v>
      </c>
      <c r="N26" s="40" t="s">
        <v>391</v>
      </c>
      <c r="O26" s="40">
        <v>8.1</v>
      </c>
      <c r="P26" s="99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</row>
    <row r="27" spans="1:33" s="101" customFormat="1" ht="12.75" x14ac:dyDescent="0.25">
      <c r="A27" s="96" t="s">
        <v>392</v>
      </c>
      <c r="B27" s="40">
        <v>6.536363636363637</v>
      </c>
      <c r="C27" s="40">
        <v>6.0666666666666673</v>
      </c>
      <c r="D27" s="40" t="s">
        <v>18</v>
      </c>
      <c r="E27" s="91">
        <v>6.9</v>
      </c>
      <c r="F27" s="40" t="s">
        <v>393</v>
      </c>
      <c r="G27" s="40">
        <v>6.3</v>
      </c>
      <c r="H27" s="40" t="s">
        <v>18</v>
      </c>
      <c r="I27" s="40">
        <v>5.4</v>
      </c>
      <c r="J27" s="40" t="s">
        <v>394</v>
      </c>
      <c r="K27" s="40" t="s">
        <v>343</v>
      </c>
      <c r="L27" s="40">
        <v>5</v>
      </c>
      <c r="M27" s="40">
        <v>8</v>
      </c>
      <c r="N27" s="40" t="s">
        <v>18</v>
      </c>
      <c r="O27" s="40" t="s">
        <v>387</v>
      </c>
      <c r="P27" s="99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</row>
    <row r="28" spans="1:33" s="100" customFormat="1" ht="12.75" x14ac:dyDescent="0.25">
      <c r="A28" s="96" t="s">
        <v>395</v>
      </c>
      <c r="B28" s="91">
        <v>4.8443181818181822</v>
      </c>
      <c r="C28" s="91">
        <v>4.5999999999999996</v>
      </c>
      <c r="D28" s="40" t="s">
        <v>18</v>
      </c>
      <c r="E28" s="40">
        <v>6.2</v>
      </c>
      <c r="F28" s="40" t="s">
        <v>18</v>
      </c>
      <c r="G28" s="40">
        <v>3.8</v>
      </c>
      <c r="H28" s="40" t="s">
        <v>18</v>
      </c>
      <c r="I28" s="40">
        <v>4.5999999999999996</v>
      </c>
      <c r="J28" s="40" t="s">
        <v>18</v>
      </c>
      <c r="K28" s="40" t="s">
        <v>18</v>
      </c>
      <c r="L28" s="40" t="s">
        <v>18</v>
      </c>
      <c r="M28" s="40">
        <v>3.8</v>
      </c>
      <c r="N28" s="40" t="s">
        <v>18</v>
      </c>
      <c r="O28" s="40" t="s">
        <v>18</v>
      </c>
      <c r="P28" s="99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</row>
    <row r="29" spans="1:33" s="92" customFormat="1" ht="12.75" x14ac:dyDescent="0.25">
      <c r="A29" s="38" t="s">
        <v>245</v>
      </c>
      <c r="B29" s="91"/>
      <c r="C29" s="9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99"/>
    </row>
    <row r="30" spans="1:33" s="98" customFormat="1" ht="12.75" x14ac:dyDescent="0.25">
      <c r="A30" s="96" t="s">
        <v>246</v>
      </c>
      <c r="B30" s="42" t="s">
        <v>18</v>
      </c>
      <c r="C30" s="42" t="s">
        <v>18</v>
      </c>
      <c r="D30" s="42">
        <v>2026</v>
      </c>
      <c r="E30" s="42">
        <v>2012</v>
      </c>
      <c r="F30" s="42">
        <v>2024</v>
      </c>
      <c r="G30" s="64">
        <v>2004</v>
      </c>
      <c r="H30" s="42">
        <v>2025</v>
      </c>
      <c r="I30" s="64">
        <v>2001</v>
      </c>
      <c r="J30" s="42">
        <v>2021</v>
      </c>
      <c r="K30" s="42">
        <v>2022</v>
      </c>
      <c r="L30" s="42">
        <v>2020</v>
      </c>
      <c r="M30" s="64">
        <v>2004</v>
      </c>
      <c r="N30" s="42">
        <v>2025</v>
      </c>
      <c r="O30" s="42">
        <v>2024</v>
      </c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</row>
    <row r="31" spans="1:33" s="98" customFormat="1" ht="12.75" x14ac:dyDescent="0.25">
      <c r="A31" s="39" t="s">
        <v>247</v>
      </c>
      <c r="B31" s="42" t="s">
        <v>18</v>
      </c>
      <c r="C31" s="42" t="s">
        <v>18</v>
      </c>
      <c r="D31" s="185" t="s">
        <v>165</v>
      </c>
      <c r="E31" s="42" t="s">
        <v>159</v>
      </c>
      <c r="F31" s="185" t="s">
        <v>165</v>
      </c>
      <c r="G31" s="64" t="s">
        <v>289</v>
      </c>
      <c r="H31" s="42" t="s">
        <v>156</v>
      </c>
      <c r="I31" s="42" t="s">
        <v>156</v>
      </c>
      <c r="J31" s="42" t="s">
        <v>159</v>
      </c>
      <c r="K31" s="44" t="s">
        <v>396</v>
      </c>
      <c r="L31" s="42" t="s">
        <v>159</v>
      </c>
      <c r="M31" s="185" t="s">
        <v>165</v>
      </c>
      <c r="N31" s="64" t="s">
        <v>156</v>
      </c>
      <c r="O31" s="185" t="s">
        <v>165</v>
      </c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</row>
    <row r="32" spans="1:33" s="98" customFormat="1" ht="12.75" x14ac:dyDescent="0.25">
      <c r="A32" s="39" t="s">
        <v>248</v>
      </c>
      <c r="B32" s="42" t="s">
        <v>18</v>
      </c>
      <c r="C32" s="42" t="s">
        <v>18</v>
      </c>
      <c r="D32" s="185" t="s">
        <v>162</v>
      </c>
      <c r="E32" s="42" t="s">
        <v>159</v>
      </c>
      <c r="F32" s="185" t="s">
        <v>162</v>
      </c>
      <c r="G32" s="64" t="s">
        <v>156</v>
      </c>
      <c r="H32" s="42" t="s">
        <v>156</v>
      </c>
      <c r="I32" s="42" t="s">
        <v>156</v>
      </c>
      <c r="J32" s="42" t="s">
        <v>159</v>
      </c>
      <c r="K32" s="44" t="s">
        <v>267</v>
      </c>
      <c r="L32" s="42" t="s">
        <v>159</v>
      </c>
      <c r="M32" s="64" t="s">
        <v>249</v>
      </c>
      <c r="N32" s="64" t="s">
        <v>289</v>
      </c>
      <c r="O32" s="185" t="s">
        <v>162</v>
      </c>
      <c r="P32" s="92"/>
      <c r="Q32" s="92"/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</row>
    <row r="33" spans="1:33" s="33" customFormat="1" x14ac:dyDescent="0.25">
      <c r="A33" s="19" t="s">
        <v>250</v>
      </c>
      <c r="B33" s="42" t="s">
        <v>18</v>
      </c>
      <c r="C33" s="42" t="s">
        <v>18</v>
      </c>
      <c r="D33" s="18"/>
      <c r="E33" s="27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</row>
    <row r="34" spans="1:33" s="90" customFormat="1" x14ac:dyDescent="0.25">
      <c r="A34" s="39" t="s">
        <v>397</v>
      </c>
      <c r="B34" s="42" t="s">
        <v>18</v>
      </c>
      <c r="C34" s="42" t="s">
        <v>18</v>
      </c>
      <c r="D34" s="42" t="s">
        <v>18</v>
      </c>
      <c r="E34" s="79">
        <v>9</v>
      </c>
      <c r="F34" s="42" t="s">
        <v>18</v>
      </c>
      <c r="G34" s="64">
        <v>6</v>
      </c>
      <c r="H34" s="42" t="s">
        <v>18</v>
      </c>
      <c r="I34" s="64">
        <v>12</v>
      </c>
      <c r="J34" s="64">
        <v>3</v>
      </c>
      <c r="K34" s="64">
        <v>3</v>
      </c>
      <c r="L34" s="64">
        <v>4</v>
      </c>
      <c r="M34" s="64">
        <v>7</v>
      </c>
      <c r="N34" s="42" t="s">
        <v>18</v>
      </c>
      <c r="O34" s="42" t="s">
        <v>18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</row>
    <row r="35" spans="1:33" s="31" customFormat="1" x14ac:dyDescent="0.25">
      <c r="A35" s="39" t="s">
        <v>251</v>
      </c>
      <c r="B35" s="42" t="s">
        <v>18</v>
      </c>
      <c r="C35" s="42" t="s">
        <v>18</v>
      </c>
      <c r="D35" s="64">
        <v>6</v>
      </c>
      <c r="E35" s="79">
        <v>11</v>
      </c>
      <c r="F35" s="64">
        <v>8</v>
      </c>
      <c r="G35" s="64">
        <v>11</v>
      </c>
      <c r="H35" s="64">
        <v>5</v>
      </c>
      <c r="I35" s="64">
        <v>27</v>
      </c>
      <c r="J35" s="64">
        <v>13</v>
      </c>
      <c r="K35" s="64">
        <v>13</v>
      </c>
      <c r="L35" s="64">
        <v>12</v>
      </c>
      <c r="M35" s="64">
        <v>11</v>
      </c>
      <c r="N35" s="64">
        <v>5</v>
      </c>
      <c r="O35" s="64">
        <v>8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  <row r="36" spans="1:33" s="31" customFormat="1" x14ac:dyDescent="0.25">
      <c r="A36" s="39" t="s">
        <v>252</v>
      </c>
      <c r="B36" s="42" t="s">
        <v>18</v>
      </c>
      <c r="C36" s="42" t="s">
        <v>18</v>
      </c>
      <c r="D36" s="64">
        <v>6</v>
      </c>
      <c r="E36" s="42">
        <v>10</v>
      </c>
      <c r="F36" s="64">
        <v>5</v>
      </c>
      <c r="G36" s="64">
        <v>10</v>
      </c>
      <c r="H36" s="64">
        <v>5</v>
      </c>
      <c r="I36" s="64">
        <v>24</v>
      </c>
      <c r="J36" s="64">
        <v>12</v>
      </c>
      <c r="K36" s="64">
        <v>12</v>
      </c>
      <c r="L36" s="64">
        <v>11</v>
      </c>
      <c r="M36" s="64">
        <v>10</v>
      </c>
      <c r="N36" s="64">
        <v>5</v>
      </c>
      <c r="O36" s="64">
        <v>5</v>
      </c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</row>
    <row r="37" spans="1:33" x14ac:dyDescent="0.25">
      <c r="A37" s="56" t="s">
        <v>398</v>
      </c>
      <c r="B37" s="42" t="s">
        <v>18</v>
      </c>
      <c r="C37" s="42"/>
      <c r="D37" s="102"/>
      <c r="E37" s="70"/>
      <c r="F37" s="102"/>
      <c r="G37" s="102"/>
      <c r="H37" s="102"/>
      <c r="I37" s="102"/>
      <c r="J37" s="102"/>
      <c r="K37" s="102"/>
      <c r="L37" s="102"/>
      <c r="M37" s="102"/>
      <c r="N37" s="102"/>
      <c r="O37" s="102"/>
    </row>
    <row r="38" spans="1:33" x14ac:dyDescent="0.25">
      <c r="A38" s="56" t="s">
        <v>399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  <row r="39" spans="1:33" x14ac:dyDescent="0.25">
      <c r="A39" s="56" t="s">
        <v>400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</row>
    <row r="40" spans="1:33" x14ac:dyDescent="0.25">
      <c r="A40" s="57" t="s">
        <v>259</v>
      </c>
      <c r="B40" s="72"/>
      <c r="C40" s="72"/>
      <c r="D40" s="70"/>
      <c r="E40" s="72"/>
      <c r="F40" s="70"/>
      <c r="G40" s="70"/>
      <c r="H40" s="70"/>
      <c r="I40" s="70"/>
      <c r="J40" s="70"/>
      <c r="K40" s="70"/>
      <c r="L40" s="70"/>
      <c r="M40" s="70"/>
      <c r="N40" s="70"/>
      <c r="O40" s="70"/>
    </row>
    <row r="41" spans="1:33" x14ac:dyDescent="0.25">
      <c r="D41"/>
      <c r="E41"/>
      <c r="F41"/>
      <c r="G41"/>
      <c r="H41"/>
      <c r="I41"/>
      <c r="J41"/>
      <c r="K41"/>
      <c r="L41"/>
      <c r="M41"/>
      <c r="N41"/>
      <c r="O41"/>
    </row>
    <row r="42" spans="1:33" x14ac:dyDescent="0.25"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</row>
    <row r="43" spans="1:33" x14ac:dyDescent="0.25"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09E9-0889-4A38-BE59-2D99FF05E9BA}">
  <dimension ref="A1:BY43"/>
  <sheetViews>
    <sheetView workbookViewId="0"/>
  </sheetViews>
  <sheetFormatPr defaultColWidth="9.28515625" defaultRowHeight="15" x14ac:dyDescent="0.25"/>
  <cols>
    <col min="1" max="1" width="125.42578125" bestFit="1" customWidth="1"/>
    <col min="2" max="2" width="23.7109375" style="73" bestFit="1" customWidth="1"/>
    <col min="3" max="3" width="30.140625" style="73" bestFit="1" customWidth="1"/>
    <col min="4" max="4" width="8.85546875" style="73" bestFit="1" customWidth="1"/>
    <col min="5" max="5" width="10.85546875" style="73" bestFit="1" customWidth="1"/>
    <col min="6" max="6" width="11.28515625" style="73" bestFit="1" customWidth="1"/>
    <col min="7" max="7" width="14.28515625" style="73" bestFit="1" customWidth="1"/>
    <col min="8" max="8" width="9.85546875" style="73" bestFit="1" customWidth="1"/>
    <col min="9" max="9" width="11" style="73" bestFit="1" customWidth="1"/>
    <col min="10" max="10" width="9.5703125" style="73" bestFit="1" customWidth="1"/>
    <col min="11" max="11" width="11.28515625" style="73" bestFit="1" customWidth="1"/>
    <col min="12" max="12" width="14.42578125" style="73" bestFit="1" customWidth="1"/>
    <col min="13" max="13" width="11.140625" style="73" customWidth="1"/>
  </cols>
  <sheetData>
    <row r="1" spans="1:77" s="86" customFormat="1" x14ac:dyDescent="0.25">
      <c r="A1" s="59" t="s">
        <v>195</v>
      </c>
      <c r="B1" s="85"/>
      <c r="C1" s="85"/>
      <c r="D1" s="85"/>
      <c r="E1" s="60"/>
      <c r="F1" s="85"/>
      <c r="G1" s="60"/>
      <c r="H1" s="60"/>
      <c r="I1" s="60"/>
      <c r="J1" s="60"/>
      <c r="K1" s="60"/>
      <c r="L1" s="60"/>
      <c r="M1" s="60"/>
    </row>
    <row r="2" spans="1:77" x14ac:dyDescent="0.25">
      <c r="A2" s="104"/>
      <c r="B2" s="105"/>
      <c r="C2" s="105"/>
      <c r="D2" s="85"/>
      <c r="E2" s="105"/>
      <c r="F2" s="85"/>
      <c r="G2" s="105"/>
      <c r="H2" s="105"/>
      <c r="I2" s="105"/>
      <c r="J2" s="105"/>
      <c r="K2" s="105"/>
      <c r="L2" s="105"/>
      <c r="M2" s="105"/>
    </row>
    <row r="3" spans="1:77" s="75" customFormat="1" x14ac:dyDescent="0.25">
      <c r="A3" s="74" t="s">
        <v>195</v>
      </c>
      <c r="B3" s="74" t="s">
        <v>208</v>
      </c>
      <c r="C3" s="74" t="s">
        <v>401</v>
      </c>
      <c r="D3" s="74" t="s">
        <v>402</v>
      </c>
      <c r="E3" s="74" t="s">
        <v>403</v>
      </c>
      <c r="F3" s="74" t="s">
        <v>404</v>
      </c>
      <c r="G3" s="74" t="s">
        <v>405</v>
      </c>
      <c r="H3" s="74" t="s">
        <v>406</v>
      </c>
      <c r="I3" s="74" t="s">
        <v>407</v>
      </c>
      <c r="J3" s="74" t="s">
        <v>408</v>
      </c>
      <c r="K3" s="74" t="s">
        <v>409</v>
      </c>
      <c r="L3" s="74" t="s">
        <v>410</v>
      </c>
      <c r="M3" s="74" t="s">
        <v>411</v>
      </c>
    </row>
    <row r="4" spans="1:77" x14ac:dyDescent="0.25">
      <c r="A4" s="14" t="s">
        <v>213</v>
      </c>
      <c r="B4" s="87" t="s">
        <v>18</v>
      </c>
      <c r="C4" s="87" t="s">
        <v>18</v>
      </c>
      <c r="D4" s="16" t="s">
        <v>12</v>
      </c>
      <c r="E4" s="16" t="s">
        <v>6</v>
      </c>
      <c r="F4" s="16" t="s">
        <v>12</v>
      </c>
      <c r="G4" s="16" t="s">
        <v>9</v>
      </c>
      <c r="H4" s="16" t="s">
        <v>6</v>
      </c>
      <c r="I4" s="16" t="s">
        <v>9</v>
      </c>
      <c r="J4" s="16" t="s">
        <v>9</v>
      </c>
      <c r="K4" s="16" t="s">
        <v>6</v>
      </c>
      <c r="L4" s="16" t="s">
        <v>6</v>
      </c>
      <c r="M4" s="16" t="s">
        <v>6</v>
      </c>
      <c r="O4" s="106"/>
      <c r="P4" s="106"/>
      <c r="Q4" s="106"/>
      <c r="R4" s="106"/>
      <c r="S4" s="106"/>
      <c r="T4" s="106"/>
      <c r="U4" s="106"/>
      <c r="V4" s="106"/>
      <c r="W4" s="106"/>
      <c r="X4" s="107"/>
      <c r="Y4" s="106"/>
      <c r="Z4" s="107"/>
    </row>
    <row r="5" spans="1:77" x14ac:dyDescent="0.25">
      <c r="A5" s="17" t="s">
        <v>214</v>
      </c>
      <c r="B5" s="87" t="s">
        <v>18</v>
      </c>
      <c r="C5" s="87" t="s">
        <v>18</v>
      </c>
      <c r="D5" s="89">
        <v>139.04300000000001</v>
      </c>
      <c r="E5" s="18">
        <v>139.38800000000001</v>
      </c>
      <c r="F5" s="89">
        <v>139.43099999999998</v>
      </c>
      <c r="G5" s="18">
        <v>139.745</v>
      </c>
      <c r="H5" s="18">
        <v>139.84300000000002</v>
      </c>
      <c r="I5" s="18">
        <v>140.24</v>
      </c>
      <c r="J5" s="18">
        <v>140.785</v>
      </c>
      <c r="K5" s="18">
        <v>141.084</v>
      </c>
      <c r="L5" s="18">
        <v>141.125</v>
      </c>
      <c r="M5" s="18">
        <v>142.07</v>
      </c>
      <c r="P5" s="106"/>
      <c r="Q5" s="106"/>
    </row>
    <row r="6" spans="1:77" s="31" customFormat="1" x14ac:dyDescent="0.25">
      <c r="A6" s="17" t="s">
        <v>372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11"/>
      <c r="P6" s="106"/>
      <c r="Q6" s="106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77" s="31" customFormat="1" x14ac:dyDescent="0.25">
      <c r="A7" s="26" t="s">
        <v>373</v>
      </c>
      <c r="B7" s="27">
        <v>100</v>
      </c>
      <c r="C7" s="27">
        <v>100.25241312860213</v>
      </c>
      <c r="D7" s="27">
        <v>102.75506332449369</v>
      </c>
      <c r="E7" s="27">
        <v>99.641588865948094</v>
      </c>
      <c r="F7" s="27">
        <v>105.22499398114752</v>
      </c>
      <c r="G7" s="27">
        <v>103.00705820111571</v>
      </c>
      <c r="H7" s="27">
        <v>100.47325875358631</v>
      </c>
      <c r="I7" s="27">
        <v>101.89293545027301</v>
      </c>
      <c r="J7" s="27">
        <v>101.59637373670576</v>
      </c>
      <c r="K7" s="27">
        <v>100.00263709403934</v>
      </c>
      <c r="L7" s="27">
        <v>99.745349011337609</v>
      </c>
      <c r="M7" s="27">
        <v>101.39923191809919</v>
      </c>
      <c r="N7" s="11"/>
      <c r="P7" s="106"/>
      <c r="Q7" s="106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77" s="31" customFormat="1" x14ac:dyDescent="0.25">
      <c r="A8" s="26" t="s">
        <v>374</v>
      </c>
      <c r="B8" s="27">
        <v>100</v>
      </c>
      <c r="C8" s="27">
        <v>99.344425084187122</v>
      </c>
      <c r="D8" s="27">
        <v>104.00174326929428</v>
      </c>
      <c r="E8" s="27">
        <v>102.46357078767387</v>
      </c>
      <c r="F8" s="27">
        <v>101.34414755968132</v>
      </c>
      <c r="G8" s="27">
        <v>93.221831252811768</v>
      </c>
      <c r="H8" s="27">
        <v>96.088961964751633</v>
      </c>
      <c r="I8" s="27">
        <v>94.491348379092528</v>
      </c>
      <c r="J8" s="27">
        <v>95.018274493689887</v>
      </c>
      <c r="K8" s="27">
        <v>99.75984067354824</v>
      </c>
      <c r="L8" s="27">
        <v>99.805206986815293</v>
      </c>
      <c r="M8" s="27">
        <v>98.604545008146587</v>
      </c>
      <c r="N8" s="11"/>
      <c r="O8" s="68"/>
      <c r="P8" s="106"/>
      <c r="Q8" s="106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77" s="31" customFormat="1" x14ac:dyDescent="0.25">
      <c r="A9" s="26" t="s">
        <v>375</v>
      </c>
      <c r="B9" s="27">
        <v>100</v>
      </c>
      <c r="C9" s="79">
        <v>99.825802930719234</v>
      </c>
      <c r="D9" s="27">
        <v>103.37840329689398</v>
      </c>
      <c r="E9" s="27">
        <v>100.9853897810556</v>
      </c>
      <c r="F9" s="27">
        <v>103.28457077041442</v>
      </c>
      <c r="G9" s="27">
        <v>98.310149265929837</v>
      </c>
      <c r="H9" s="27">
        <v>98.421034724770081</v>
      </c>
      <c r="I9" s="27">
        <v>98.353045981447579</v>
      </c>
      <c r="J9" s="27">
        <v>98.450326272654706</v>
      </c>
      <c r="K9" s="27">
        <v>99.886094812203609</v>
      </c>
      <c r="L9" s="27">
        <v>99.773852809184135</v>
      </c>
      <c r="M9" s="27">
        <v>100.06264252638275</v>
      </c>
      <c r="N9" s="11"/>
      <c r="O9" s="68"/>
      <c r="P9" s="106"/>
      <c r="Q9" s="106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77" s="31" customFormat="1" x14ac:dyDescent="0.25">
      <c r="A10" s="28" t="s">
        <v>412</v>
      </c>
      <c r="B10" s="27">
        <v>100</v>
      </c>
      <c r="C10" s="27">
        <v>101.31955213682191</v>
      </c>
      <c r="D10" s="27">
        <v>100.83097112307209</v>
      </c>
      <c r="E10" s="27">
        <v>98.99523926822252</v>
      </c>
      <c r="F10" s="27">
        <v>105.7301590839736</v>
      </c>
      <c r="G10" s="27">
        <v>101.30297865624011</v>
      </c>
      <c r="H10" s="27">
        <v>102.54414108747616</v>
      </c>
      <c r="I10" s="27">
        <v>99.759202135883072</v>
      </c>
      <c r="J10" s="27">
        <v>103.17276285855833</v>
      </c>
      <c r="K10" s="27">
        <v>100.66338011995103</v>
      </c>
      <c r="L10" s="27">
        <v>101.27693075832362</v>
      </c>
      <c r="M10" s="27">
        <v>103.11806945013616</v>
      </c>
      <c r="N10" s="11"/>
      <c r="O10" s="68"/>
      <c r="P10" s="106"/>
      <c r="Q10" s="106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77" s="31" customFormat="1" x14ac:dyDescent="0.25">
      <c r="A11" s="26" t="s">
        <v>377</v>
      </c>
      <c r="B11" s="27">
        <v>100</v>
      </c>
      <c r="C11" s="27">
        <v>104.61168701701187</v>
      </c>
      <c r="D11" s="79" t="s">
        <v>18</v>
      </c>
      <c r="E11" s="27">
        <v>107.78220631290095</v>
      </c>
      <c r="F11" s="79" t="s">
        <v>18</v>
      </c>
      <c r="G11" s="27">
        <v>119.51547907604105</v>
      </c>
      <c r="H11" s="27">
        <v>99.331265157596704</v>
      </c>
      <c r="I11" s="27">
        <v>111.17051450645268</v>
      </c>
      <c r="J11" s="27">
        <v>111.94742864232229</v>
      </c>
      <c r="K11" s="27">
        <v>108.12469397016635</v>
      </c>
      <c r="L11" s="27">
        <v>108.99455217490299</v>
      </c>
      <c r="M11" s="27">
        <v>98.825717469492318</v>
      </c>
      <c r="N11" s="11"/>
      <c r="O11" s="68"/>
      <c r="P11" s="106"/>
      <c r="Q11" s="106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77" s="93" customFormat="1" x14ac:dyDescent="0.25">
      <c r="A12" s="14" t="s">
        <v>378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92"/>
      <c r="O12" s="68"/>
      <c r="P12" s="106"/>
      <c r="Q12" s="106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</row>
    <row r="13" spans="1:77" s="31" customFormat="1" x14ac:dyDescent="0.25">
      <c r="A13" s="26" t="s">
        <v>379</v>
      </c>
      <c r="B13" s="27">
        <v>100</v>
      </c>
      <c r="C13" s="27">
        <v>98.938947927163483</v>
      </c>
      <c r="D13" s="27">
        <v>95.289764887799322</v>
      </c>
      <c r="E13" s="27">
        <v>101.21696930297949</v>
      </c>
      <c r="F13" s="27">
        <v>99.870871454187508</v>
      </c>
      <c r="G13" s="27">
        <v>108.14075208231377</v>
      </c>
      <c r="H13" s="27">
        <v>97.459937539454344</v>
      </c>
      <c r="I13" s="27">
        <v>105.44771476766395</v>
      </c>
      <c r="J13" s="27">
        <v>102.7158230881699</v>
      </c>
      <c r="K13" s="27">
        <v>104.95552885245809</v>
      </c>
      <c r="L13" s="27">
        <v>102.64463355829568</v>
      </c>
      <c r="M13" s="27">
        <v>88.417670382629808</v>
      </c>
      <c r="N13" s="11"/>
      <c r="O13" s="68"/>
      <c r="P13" s="106"/>
      <c r="Q13" s="106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</row>
    <row r="14" spans="1:77" s="31" customFormat="1" x14ac:dyDescent="0.25">
      <c r="A14" s="21" t="s">
        <v>380</v>
      </c>
      <c r="B14" s="27">
        <v>100</v>
      </c>
      <c r="C14" s="27">
        <v>102.76330244410238</v>
      </c>
      <c r="D14" s="27">
        <v>101.40739185503422</v>
      </c>
      <c r="E14" s="27">
        <v>102.90136662240532</v>
      </c>
      <c r="F14" s="27">
        <v>106.93898573341198</v>
      </c>
      <c r="G14" s="27">
        <v>98.792150482757535</v>
      </c>
      <c r="H14" s="27">
        <v>102.75331590822645</v>
      </c>
      <c r="I14" s="27">
        <v>96.793002978262024</v>
      </c>
      <c r="J14" s="27">
        <v>105.84444733691834</v>
      </c>
      <c r="K14" s="27">
        <v>100.30355471034869</v>
      </c>
      <c r="L14" s="27">
        <v>103.55043146381449</v>
      </c>
      <c r="M14" s="27">
        <v>104.30784351571701</v>
      </c>
      <c r="N14" s="11"/>
      <c r="O14" s="68"/>
      <c r="P14" s="106"/>
      <c r="Q14" s="106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</row>
    <row r="15" spans="1:77" s="95" customFormat="1" x14ac:dyDescent="0.25">
      <c r="A15" s="94" t="s">
        <v>381</v>
      </c>
      <c r="B15" s="91">
        <v>71.846999999999994</v>
      </c>
      <c r="C15" s="91">
        <v>72.0719787281691</v>
      </c>
      <c r="D15" s="91">
        <v>70.682803103763106</v>
      </c>
      <c r="E15" s="91">
        <v>70.900140218213949</v>
      </c>
      <c r="F15" s="91">
        <v>71.714469770429758</v>
      </c>
      <c r="G15" s="91">
        <v>72.775583910019733</v>
      </c>
      <c r="H15" s="91">
        <v>71.790870871036745</v>
      </c>
      <c r="I15" s="91">
        <v>72.170079599913294</v>
      </c>
      <c r="J15" s="91">
        <v>72.084700498484267</v>
      </c>
      <c r="K15" s="91">
        <v>73.134503287364893</v>
      </c>
      <c r="L15" s="91">
        <v>71.932867490941192</v>
      </c>
      <c r="M15" s="91">
        <v>72.601511773288721</v>
      </c>
      <c r="N15" s="11"/>
      <c r="O15" s="68"/>
      <c r="P15" s="106"/>
      <c r="Q15" s="106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</row>
    <row r="16" spans="1:77" s="31" customFormat="1" x14ac:dyDescent="0.25">
      <c r="A16" s="21" t="s">
        <v>382</v>
      </c>
      <c r="B16" s="27">
        <v>100</v>
      </c>
      <c r="C16" s="27">
        <v>98.828549541896962</v>
      </c>
      <c r="D16" s="27">
        <v>103.88651946378866</v>
      </c>
      <c r="E16" s="27">
        <v>95.045987830419293</v>
      </c>
      <c r="F16" s="27">
        <v>105.80356520152728</v>
      </c>
      <c r="G16" s="27">
        <v>104.20011563500138</v>
      </c>
      <c r="H16" s="27">
        <v>103.34555615347861</v>
      </c>
      <c r="I16" s="27">
        <v>104.49519249651929</v>
      </c>
      <c r="J16" s="27">
        <v>97.641649580340356</v>
      </c>
      <c r="K16" s="27">
        <v>97.328928482568102</v>
      </c>
      <c r="L16" s="27">
        <v>97.028820206960532</v>
      </c>
      <c r="M16" s="27">
        <v>101.39345503605824</v>
      </c>
      <c r="N16" s="11"/>
      <c r="O16" s="68"/>
      <c r="P16" s="106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</row>
    <row r="17" spans="1:64" s="95" customFormat="1" x14ac:dyDescent="0.25">
      <c r="A17" s="24" t="s">
        <v>383</v>
      </c>
      <c r="B17" s="91">
        <v>65.439390000000003</v>
      </c>
      <c r="C17" s="91">
        <v>65.495645487816503</v>
      </c>
      <c r="D17" s="91">
        <v>64.658352186034378</v>
      </c>
      <c r="E17" s="91">
        <v>65.196877158496761</v>
      </c>
      <c r="F17" s="91">
        <v>64.266685519367684</v>
      </c>
      <c r="G17" s="91">
        <v>65.316892150173274</v>
      </c>
      <c r="H17" s="91">
        <v>64.833934953302972</v>
      </c>
      <c r="I17" s="91">
        <v>65.290403782155224</v>
      </c>
      <c r="J17" s="91">
        <v>65.488286764177886</v>
      </c>
      <c r="K17" s="91">
        <v>66.223156321288499</v>
      </c>
      <c r="L17" s="91">
        <v>66.462844953520886</v>
      </c>
      <c r="M17" s="91">
        <v>64.761414052473626</v>
      </c>
      <c r="N17" s="11"/>
      <c r="O17" s="68"/>
      <c r="P17" s="107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</row>
    <row r="18" spans="1:64" s="31" customFormat="1" x14ac:dyDescent="0.25">
      <c r="A18" s="21" t="s">
        <v>384</v>
      </c>
      <c r="B18" s="27">
        <v>100</v>
      </c>
      <c r="C18" s="27">
        <v>98.830981982522331</v>
      </c>
      <c r="D18" s="27">
        <v>105.29108519065976</v>
      </c>
      <c r="E18" s="27">
        <v>98.887423919426567</v>
      </c>
      <c r="F18" s="27">
        <v>104.26380896324977</v>
      </c>
      <c r="G18" s="27">
        <v>105.4712434611947</v>
      </c>
      <c r="H18" s="27">
        <v>96.514382933161684</v>
      </c>
      <c r="I18" s="27">
        <v>104.95705173107662</v>
      </c>
      <c r="J18" s="27">
        <v>99.192279706975469</v>
      </c>
      <c r="K18" s="27">
        <v>100.11311159216102</v>
      </c>
      <c r="L18" s="27">
        <v>96.392566482485876</v>
      </c>
      <c r="M18" s="27">
        <v>102.24742498537654</v>
      </c>
      <c r="N18" s="11"/>
      <c r="O18" s="68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</row>
    <row r="19" spans="1:64" s="33" customFormat="1" x14ac:dyDescent="0.25">
      <c r="A19" s="38" t="s">
        <v>239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11"/>
      <c r="O19" s="68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</row>
    <row r="20" spans="1:64" s="108" customFormat="1" x14ac:dyDescent="0.25">
      <c r="A20" s="96" t="s">
        <v>385</v>
      </c>
      <c r="B20" s="27">
        <v>60.84</v>
      </c>
      <c r="C20" s="27">
        <v>58.343231854231689</v>
      </c>
      <c r="D20" s="27">
        <v>62.120896055530437</v>
      </c>
      <c r="E20" s="27">
        <v>58.922993336534951</v>
      </c>
      <c r="F20" s="27">
        <v>62.17922938886376</v>
      </c>
      <c r="G20" s="27">
        <v>58.793377176621917</v>
      </c>
      <c r="H20" s="27">
        <v>57.178876218055812</v>
      </c>
      <c r="I20" s="27">
        <v>58.69388793921452</v>
      </c>
      <c r="J20" s="27">
        <v>61.200658699879249</v>
      </c>
      <c r="K20" s="27">
        <v>59.547594979508837</v>
      </c>
      <c r="L20" s="27">
        <v>56.980629700171299</v>
      </c>
      <c r="M20" s="27">
        <v>59.086065036887561</v>
      </c>
      <c r="N20" s="11"/>
      <c r="O20" s="68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</row>
    <row r="21" spans="1:64" s="31" customFormat="1" x14ac:dyDescent="0.25">
      <c r="A21" s="24" t="s">
        <v>386</v>
      </c>
      <c r="B21" s="27">
        <v>52.427999999999997</v>
      </c>
      <c r="C21" s="27">
        <v>50.453804619046096</v>
      </c>
      <c r="D21" s="27">
        <v>58.267662578846888</v>
      </c>
      <c r="E21" s="27">
        <v>53.591796179628687</v>
      </c>
      <c r="F21" s="27">
        <v>51.072329245513558</v>
      </c>
      <c r="G21" s="27">
        <v>43.057740246391766</v>
      </c>
      <c r="H21" s="27">
        <v>48.460645920509471</v>
      </c>
      <c r="I21" s="27">
        <v>45.014541909136284</v>
      </c>
      <c r="J21" s="27">
        <v>47.421789082373607</v>
      </c>
      <c r="K21" s="27">
        <v>52.425999257049071</v>
      </c>
      <c r="L21" s="27">
        <v>51.661496179628678</v>
      </c>
      <c r="M21" s="27">
        <v>46.129085558414545</v>
      </c>
      <c r="N21" s="11"/>
      <c r="O21" s="68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</row>
    <row r="22" spans="1:64" s="110" customFormat="1" x14ac:dyDescent="0.25">
      <c r="A22" s="39" t="s">
        <v>240</v>
      </c>
      <c r="B22" s="91">
        <v>7.6019800000000002</v>
      </c>
      <c r="C22" s="91">
        <v>7.6681789173495414</v>
      </c>
      <c r="D22" s="40" t="s">
        <v>343</v>
      </c>
      <c r="E22" s="40">
        <v>7.7671627804815175</v>
      </c>
      <c r="F22" s="40" t="s">
        <v>343</v>
      </c>
      <c r="G22" s="91">
        <v>8.0686946949270499</v>
      </c>
      <c r="H22" s="91">
        <v>7.4143136207184215</v>
      </c>
      <c r="I22" s="40">
        <v>7.6405057849202187</v>
      </c>
      <c r="J22" s="40">
        <v>7.5571724515868857</v>
      </c>
      <c r="K22" s="91">
        <v>7.8383962673291512</v>
      </c>
      <c r="L22" s="91">
        <v>7.6051076444481946</v>
      </c>
      <c r="M22" s="91">
        <v>7.7159142737704194</v>
      </c>
      <c r="N22" s="109"/>
      <c r="O22" s="68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</row>
    <row r="23" spans="1:64" s="33" customFormat="1" x14ac:dyDescent="0.25">
      <c r="A23" s="14" t="s">
        <v>241</v>
      </c>
      <c r="B23" s="64"/>
      <c r="C23" s="64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</row>
    <row r="24" spans="1:64" s="31" customFormat="1" x14ac:dyDescent="0.25">
      <c r="A24" s="96" t="s">
        <v>242</v>
      </c>
      <c r="B24" s="91">
        <v>7.3636363636363633</v>
      </c>
      <c r="C24" s="40">
        <v>7.2</v>
      </c>
      <c r="D24" s="40" t="s">
        <v>413</v>
      </c>
      <c r="E24" s="40">
        <v>8.1</v>
      </c>
      <c r="F24" s="40" t="s">
        <v>414</v>
      </c>
      <c r="G24" s="40">
        <v>8.1999999999999993</v>
      </c>
      <c r="H24" s="40">
        <v>4.0999999999999996</v>
      </c>
      <c r="I24" s="40">
        <v>8.4</v>
      </c>
      <c r="J24" s="40">
        <v>7.7</v>
      </c>
      <c r="K24" s="40">
        <v>7.6</v>
      </c>
      <c r="L24" s="40">
        <v>8.3000000000000007</v>
      </c>
      <c r="M24" s="40">
        <v>7.9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</row>
    <row r="25" spans="1:64" s="31" customFormat="1" x14ac:dyDescent="0.25">
      <c r="A25" s="96" t="s">
        <v>243</v>
      </c>
      <c r="B25" s="91">
        <v>5.6090909090909093</v>
      </c>
      <c r="C25" s="40">
        <v>6.9</v>
      </c>
      <c r="D25" s="40">
        <v>6</v>
      </c>
      <c r="E25" s="40">
        <v>7</v>
      </c>
      <c r="F25" s="40">
        <v>6.9</v>
      </c>
      <c r="G25" s="40">
        <v>5.2</v>
      </c>
      <c r="H25" s="40">
        <v>7</v>
      </c>
      <c r="I25" s="40">
        <v>5.7</v>
      </c>
      <c r="J25" s="40">
        <v>6.5</v>
      </c>
      <c r="K25" s="40">
        <v>6.4</v>
      </c>
      <c r="L25" s="40">
        <v>7.9</v>
      </c>
      <c r="M25" s="40">
        <v>6.2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64" s="31" customFormat="1" x14ac:dyDescent="0.25">
      <c r="A26" s="96" t="s">
        <v>244</v>
      </c>
      <c r="B26" s="91">
        <v>7.2727272727272725</v>
      </c>
      <c r="C26" s="40">
        <v>6.58</v>
      </c>
      <c r="D26" s="40">
        <v>6.4</v>
      </c>
      <c r="E26" s="40">
        <v>6.2</v>
      </c>
      <c r="F26" s="40">
        <v>6.2</v>
      </c>
      <c r="G26" s="40">
        <v>7.8</v>
      </c>
      <c r="H26" s="40">
        <v>7.3</v>
      </c>
      <c r="I26" s="40">
        <v>7.7</v>
      </c>
      <c r="J26" s="40">
        <v>6.8</v>
      </c>
      <c r="K26" s="40">
        <v>6.9</v>
      </c>
      <c r="L26" s="40">
        <v>5.6</v>
      </c>
      <c r="M26" s="40">
        <v>6.9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</row>
    <row r="27" spans="1:64" s="11" customFormat="1" x14ac:dyDescent="0.25">
      <c r="A27" s="96" t="s">
        <v>392</v>
      </c>
      <c r="B27" s="91">
        <v>6.536363636363637</v>
      </c>
      <c r="C27" s="40">
        <v>7.1</v>
      </c>
      <c r="D27" s="40" t="s">
        <v>18</v>
      </c>
      <c r="E27" s="40">
        <v>7.7</v>
      </c>
      <c r="F27" s="40" t="s">
        <v>18</v>
      </c>
      <c r="G27" s="40" t="s">
        <v>415</v>
      </c>
      <c r="H27" s="40">
        <v>7.8</v>
      </c>
      <c r="I27" s="40">
        <v>6.1</v>
      </c>
      <c r="J27" s="40">
        <v>7.5</v>
      </c>
      <c r="K27" s="40">
        <v>8</v>
      </c>
      <c r="L27" s="40">
        <v>7</v>
      </c>
      <c r="M27" s="40">
        <v>5</v>
      </c>
    </row>
    <row r="28" spans="1:64" s="31" customFormat="1" x14ac:dyDescent="0.25">
      <c r="A28" s="96" t="s">
        <v>395</v>
      </c>
      <c r="B28" s="91">
        <v>4.8443181818181822</v>
      </c>
      <c r="C28" s="91">
        <v>5.1375000000000011</v>
      </c>
      <c r="D28" s="40" t="s">
        <v>18</v>
      </c>
      <c r="E28" s="40">
        <v>4.4000000000000004</v>
      </c>
      <c r="F28" s="40" t="s">
        <v>18</v>
      </c>
      <c r="G28" s="40" t="s">
        <v>18</v>
      </c>
      <c r="H28" s="40">
        <v>5.2</v>
      </c>
      <c r="I28" s="40" t="s">
        <v>18</v>
      </c>
      <c r="J28" s="40" t="s">
        <v>18</v>
      </c>
      <c r="K28" s="40" t="s">
        <v>265</v>
      </c>
      <c r="L28" s="40">
        <v>4.05</v>
      </c>
      <c r="M28" s="40" t="s">
        <v>18</v>
      </c>
      <c r="N28" s="68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</row>
    <row r="29" spans="1:64" s="11" customFormat="1" x14ac:dyDescent="0.25">
      <c r="A29" s="38" t="s">
        <v>245</v>
      </c>
      <c r="B29" s="91"/>
      <c r="C29" s="91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68"/>
    </row>
    <row r="30" spans="1:64" s="33" customFormat="1" x14ac:dyDescent="0.25">
      <c r="A30" s="96" t="s">
        <v>246</v>
      </c>
      <c r="B30" s="42" t="s">
        <v>18</v>
      </c>
      <c r="C30" s="42" t="s">
        <v>18</v>
      </c>
      <c r="D30" s="42">
        <v>2026</v>
      </c>
      <c r="E30" s="42">
        <v>2010</v>
      </c>
      <c r="F30" s="42">
        <v>2026</v>
      </c>
      <c r="G30" s="42">
        <v>2022</v>
      </c>
      <c r="H30" s="64">
        <v>2008</v>
      </c>
      <c r="I30" s="42">
        <v>2020</v>
      </c>
      <c r="J30" s="42">
        <v>2020</v>
      </c>
      <c r="K30" s="42">
        <v>2017</v>
      </c>
      <c r="L30" s="64">
        <v>2009</v>
      </c>
      <c r="M30" s="42">
        <v>2018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</row>
    <row r="31" spans="1:64" s="33" customFormat="1" x14ac:dyDescent="0.25">
      <c r="A31" s="39" t="s">
        <v>247</v>
      </c>
      <c r="B31" s="42" t="s">
        <v>18</v>
      </c>
      <c r="C31" s="42" t="s">
        <v>18</v>
      </c>
      <c r="D31" s="44" t="s">
        <v>159</v>
      </c>
      <c r="E31" s="44" t="s">
        <v>156</v>
      </c>
      <c r="F31" s="44" t="s">
        <v>159</v>
      </c>
      <c r="G31" s="44" t="s">
        <v>416</v>
      </c>
      <c r="H31" s="44" t="s">
        <v>159</v>
      </c>
      <c r="I31" s="44" t="s">
        <v>416</v>
      </c>
      <c r="J31" s="44" t="s">
        <v>159</v>
      </c>
      <c r="K31" s="44" t="s">
        <v>416</v>
      </c>
      <c r="L31" s="44" t="s">
        <v>249</v>
      </c>
      <c r="M31" s="44" t="s">
        <v>249</v>
      </c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</row>
    <row r="32" spans="1:64" s="33" customFormat="1" x14ac:dyDescent="0.25">
      <c r="A32" s="39" t="s">
        <v>248</v>
      </c>
      <c r="B32" s="42" t="s">
        <v>18</v>
      </c>
      <c r="C32" s="42" t="s">
        <v>18</v>
      </c>
      <c r="D32" s="44" t="s">
        <v>159</v>
      </c>
      <c r="E32" s="44" t="s">
        <v>156</v>
      </c>
      <c r="F32" s="44" t="s">
        <v>159</v>
      </c>
      <c r="G32" s="44" t="s">
        <v>417</v>
      </c>
      <c r="H32" s="44" t="s">
        <v>156</v>
      </c>
      <c r="I32" s="44" t="s">
        <v>267</v>
      </c>
      <c r="J32" s="44" t="s">
        <v>159</v>
      </c>
      <c r="K32" s="44" t="s">
        <v>289</v>
      </c>
      <c r="L32" s="44" t="s">
        <v>249</v>
      </c>
      <c r="M32" s="44" t="s">
        <v>249</v>
      </c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</row>
    <row r="33" spans="1:64" s="33" customFormat="1" x14ac:dyDescent="0.25">
      <c r="A33" s="19" t="s">
        <v>250</v>
      </c>
      <c r="B33" s="42"/>
      <c r="C33" s="42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</row>
    <row r="34" spans="1:64" s="11" customFormat="1" x14ac:dyDescent="0.25">
      <c r="A34" s="39" t="s">
        <v>397</v>
      </c>
      <c r="B34" s="42" t="s">
        <v>18</v>
      </c>
      <c r="C34" s="42" t="s">
        <v>18</v>
      </c>
      <c r="D34" s="42" t="s">
        <v>18</v>
      </c>
      <c r="E34" s="64">
        <v>6</v>
      </c>
      <c r="F34" s="42" t="s">
        <v>18</v>
      </c>
      <c r="G34" s="64">
        <v>3</v>
      </c>
      <c r="H34" s="64">
        <v>9</v>
      </c>
      <c r="I34" s="64">
        <v>4</v>
      </c>
      <c r="J34" s="64">
        <v>4</v>
      </c>
      <c r="K34" s="64">
        <v>8</v>
      </c>
      <c r="L34" s="64">
        <v>7</v>
      </c>
      <c r="M34" s="64">
        <v>6</v>
      </c>
    </row>
    <row r="35" spans="1:64" s="31" customFormat="1" x14ac:dyDescent="0.25">
      <c r="A35" s="39" t="s">
        <v>251</v>
      </c>
      <c r="B35" s="42" t="s">
        <v>18</v>
      </c>
      <c r="C35" s="42" t="s">
        <v>18</v>
      </c>
      <c r="D35" s="64">
        <v>6</v>
      </c>
      <c r="E35" s="64">
        <v>11</v>
      </c>
      <c r="F35" s="64">
        <v>6</v>
      </c>
      <c r="G35" s="64">
        <v>13</v>
      </c>
      <c r="H35" s="64">
        <v>25</v>
      </c>
      <c r="I35" s="64">
        <v>12</v>
      </c>
      <c r="J35" s="64">
        <v>12</v>
      </c>
      <c r="K35" s="64">
        <v>13</v>
      </c>
      <c r="L35" s="64">
        <v>11</v>
      </c>
      <c r="M35" s="64">
        <v>12</v>
      </c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</row>
    <row r="36" spans="1:64" s="31" customFormat="1" x14ac:dyDescent="0.25">
      <c r="A36" s="39" t="s">
        <v>252</v>
      </c>
      <c r="B36" s="42" t="s">
        <v>18</v>
      </c>
      <c r="C36" s="42" t="s">
        <v>18</v>
      </c>
      <c r="D36" s="64">
        <v>6</v>
      </c>
      <c r="E36" s="64">
        <v>10</v>
      </c>
      <c r="F36" s="64">
        <v>6</v>
      </c>
      <c r="G36" s="64">
        <v>12</v>
      </c>
      <c r="H36" s="64">
        <v>22</v>
      </c>
      <c r="I36" s="64">
        <v>11</v>
      </c>
      <c r="J36" s="64">
        <v>11</v>
      </c>
      <c r="K36" s="64">
        <v>12</v>
      </c>
      <c r="L36" s="64">
        <v>10</v>
      </c>
      <c r="M36" s="64">
        <v>11</v>
      </c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</row>
    <row r="37" spans="1:64" x14ac:dyDescent="0.25">
      <c r="A37" s="56" t="s">
        <v>398</v>
      </c>
      <c r="B37" s="72"/>
      <c r="C37" s="70"/>
      <c r="D37" s="102"/>
      <c r="E37" s="70"/>
      <c r="F37" s="102"/>
      <c r="G37" s="70"/>
      <c r="H37" s="70"/>
      <c r="I37" s="70"/>
      <c r="J37" s="70"/>
      <c r="K37" s="70"/>
      <c r="L37" s="72"/>
      <c r="M37" s="70"/>
    </row>
    <row r="38" spans="1:64" x14ac:dyDescent="0.25">
      <c r="A38" s="56" t="s">
        <v>399</v>
      </c>
      <c r="B38" s="72"/>
      <c r="C38" s="70"/>
      <c r="D38" s="70"/>
      <c r="E38" s="70"/>
      <c r="F38" s="70"/>
      <c r="G38" s="70"/>
      <c r="H38" s="70"/>
      <c r="I38" s="70"/>
      <c r="J38" s="70"/>
      <c r="K38" s="70"/>
      <c r="L38" s="72"/>
      <c r="M38" s="70"/>
    </row>
    <row r="39" spans="1:64" x14ac:dyDescent="0.25">
      <c r="A39" s="56" t="s">
        <v>400</v>
      </c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</row>
    <row r="40" spans="1:64" x14ac:dyDescent="0.25">
      <c r="A40" s="57" t="s">
        <v>259</v>
      </c>
      <c r="B40" s="70"/>
      <c r="C40" s="72"/>
      <c r="D40" s="70"/>
      <c r="E40" s="70"/>
      <c r="F40" s="70"/>
      <c r="G40" s="70"/>
      <c r="H40" s="70"/>
      <c r="I40" s="70"/>
      <c r="J40" s="70"/>
      <c r="K40" s="70"/>
      <c r="L40" s="70"/>
      <c r="M40" s="70"/>
    </row>
    <row r="41" spans="1:64" x14ac:dyDescent="0.25">
      <c r="D41"/>
      <c r="E41"/>
      <c r="F41"/>
      <c r="G41"/>
      <c r="H41"/>
      <c r="I41"/>
      <c r="J41"/>
      <c r="K41"/>
      <c r="L41"/>
      <c r="M41"/>
    </row>
    <row r="42" spans="1:64" x14ac:dyDescent="0.25">
      <c r="D42" s="103"/>
      <c r="F42" s="103"/>
    </row>
    <row r="43" spans="1:64" x14ac:dyDescent="0.25">
      <c r="D43" s="103"/>
      <c r="F43" s="103"/>
    </row>
  </sheetData>
  <pageMargins left="0.7" right="0.7" top="0.75" bottom="0.75" header="0.3" footer="0.3"/>
  <headerFooter>
    <oddHeader>&amp;C&amp;"Aptos"&amp;12&amp;K000000 OFFICIAL&amp;1#_x000D_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775d0ceb-c2af-4360-b5b9-28d8bcd5c08e}" enabled="1" method="Standard" siteId="{a12ce54b-3d3d-4346-95ef-ff13ca5dd47d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Glossary</vt:lpstr>
      <vt:lpstr>EPRGDIP</vt:lpstr>
      <vt:lpstr>EPRGTET</vt:lpstr>
      <vt:lpstr>IPRGDIP</vt:lpstr>
      <vt:lpstr>IPRGTET</vt:lpstr>
      <vt:lpstr>LPRGDIP</vt:lpstr>
      <vt:lpstr>LPRGTET</vt:lpstr>
      <vt:lpstr>IRGDIP</vt:lpstr>
      <vt:lpstr>IRGTET</vt:lpstr>
      <vt:lpstr>HRGDIP</vt:lpstr>
      <vt:lpstr>HRGTET</vt:lpstr>
      <vt:lpstr>TIM</vt:lpstr>
      <vt:lpstr>WC</vt:lpstr>
      <vt:lpstr>RCDIP</vt:lpstr>
      <vt:lpstr>RCTET</vt:lpstr>
      <vt:lpstr>LUC</vt:lpstr>
      <vt:lpstr>CFT</vt:lpstr>
    </vt:vector>
  </TitlesOfParts>
  <Company>AHDB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Recommended grass and clover list RGCL 2026_Accessible</dc:title>
  <dc:creator>Louise Alford</dc:creator>
  <cp:lastModifiedBy>Louise Alford</cp:lastModifiedBy>
  <dcterms:created xsi:type="dcterms:W3CDTF">2026-08-04T09:03:41Z</dcterms:created>
  <dcterms:modified xsi:type="dcterms:W3CDTF">2026-08-04T09:38:50Z</dcterms:modified>
</cp:coreProperties>
</file>